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quad Prescription" sheetId="1" state="visible" r:id="rId3"/>
  </sheets>
  <definedNames>
    <definedName function="false" hidden="false" localSheetId="0" name="_xlnm.Print_Area" vbProcedure="false">'Squad Prescription'!$A$1:$V$47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<sst xmlns="http://schemas.openxmlformats.org/spreadsheetml/2006/main" count="81" uniqueCount="73">
  <si>
    <t xml:space="preserve">SQUAD SHUTTLE RUN PRESCRIPTION SHEET (2026)</t>
  </si>
  <si>
    <t xml:space="preserve">DRILL SETTINGS</t>
  </si>
  <si>
    <t xml:space="preserve">Work duration (s)</t>
  </si>
  <si>
    <t xml:space="preserve">HOW TO SET A0 (MaxAcc / MaxDec):</t>
  </si>
  <si>
    <t xml:space="preserve">Target %ASR (Pathway A)</t>
  </si>
  <si>
    <t xml:space="preserve">Option 1: You have A-S profile A0 or sprint F-V profile data (e.g., from GPEXE, 1080 Sprint, radar). Enter your A0 value (typically 6-8 m/s²). Set utilization to 60-80%.</t>
  </si>
  <si>
    <t xml:space="preserve">Target %vIFT (Pathway B)</t>
  </si>
  <si>
    <t xml:space="preserve">Option 2: You have raw GPS peak values from training or matches (e.g., from Catapult, STATSports, Wimu). Enter your peak value directly (typically 3.5-6 m/s²). Set utilization to 100%.</t>
  </si>
  <si>
    <t xml:space="preserve">Shuttle length (m)</t>
  </si>
  <si>
    <t xml:space="preserve">Option 3: You have no acceleration data. Keep the defaults (A0 = 7.5 m/s², utilization = 100%). This matches the original 0.7s per COD calibration.</t>
  </si>
  <si>
    <t xml:space="preserve">Decel util. ratio</t>
  </si>
  <si>
    <t xml:space="preserve">Note: All three options converge on an effective rate of ~4-5 m/s² during shuttle HIIT. See Table 1 in the paper for reference values across sports and devices.</t>
  </si>
  <si>
    <t xml:space="preserve">Accel util. ratio</t>
  </si>
  <si>
    <t xml:space="preserve">Speed unit</t>
  </si>
  <si>
    <t xml:space="preserve">km/h</t>
  </si>
  <si>
    <t xml:space="preserve">Group bucket size (m)</t>
  </si>
  <si>
    <t xml:space="preserve">#</t>
  </si>
  <si>
    <t xml:space="preserve">Player</t>
  </si>
  <si>
    <t xml:space="preserve">MAS</t>
  </si>
  <si>
    <t xml:space="preserve">MSS</t>
  </si>
  <si>
    <t xml:space="preserve">vIFT</t>
  </si>
  <si>
    <t xml:space="preserve">MaxAcc</t>
  </si>
  <si>
    <t xml:space="preserve">MaxDec</t>
  </si>
  <si>
    <t xml:space="preserve">Profile</t>
  </si>
  <si>
    <t xml:space="preserve">v_target</t>
  </si>
  <si>
    <t xml:space="preserve">SL Dist</t>
  </si>
  <si>
    <t xml:space="preserve">SL Group</t>
  </si>
  <si>
    <t xml:space="preserve">COD Dist</t>
  </si>
  <si>
    <t xml:space="preserve">Group</t>
  </si>
  <si>
    <t xml:space="preserve">Legs</t>
  </si>
  <si>
    <t xml:space="preserve">CODs</t>
  </si>
  <si>
    <t xml:space="preserve">Last leg</t>
  </si>
  <si>
    <t xml:space="preserve">Flag</t>
  </si>
  <si>
    <t xml:space="preserve">Last leg range</t>
  </si>
  <si>
    <t xml:space="preserve">Equal leg</t>
  </si>
  <si>
    <t xml:space="preserve">Equal leg range</t>
  </si>
  <si>
    <t xml:space="preserve">Reduct.</t>
  </si>
  <si>
    <t xml:space="preserve">(m/s²)</t>
  </si>
  <si>
    <t xml:space="preserve">(m/s)</t>
  </si>
  <si>
    <t xml:space="preserve">(m)</t>
  </si>
  <si>
    <t xml:space="preserve">(%)</t>
  </si>
  <si>
    <t xml:space="preserve">Player A (MAS+MSS)</t>
  </si>
  <si>
    <t xml:space="preserve">Player B (MAS+MSS)</t>
  </si>
  <si>
    <t xml:space="preserve">Player C (MAS+MSS)</t>
  </si>
  <si>
    <t xml:space="preserve">Player D (MAS+MSS)</t>
  </si>
  <si>
    <t xml:space="preserve">Player E (MAS+MSS)</t>
  </si>
  <si>
    <t xml:space="preserve">Player F (MAS+MSS)</t>
  </si>
  <si>
    <t xml:space="preserve">Player G (MAS+MSS)</t>
  </si>
  <si>
    <t xml:space="preserve">Player H (MAS+MSS)</t>
  </si>
  <si>
    <t xml:space="preserve">Player I (MAS+MSS)</t>
  </si>
  <si>
    <t xml:space="preserve">Player J (MAS+MSS)</t>
  </si>
  <si>
    <t xml:space="preserve">Player K (MAS+MSS)</t>
  </si>
  <si>
    <t xml:space="preserve">Player A (vIFT)</t>
  </si>
  <si>
    <t xml:space="preserve">Player B (vIFT)</t>
  </si>
  <si>
    <t xml:space="preserve">Player C (vIFT)</t>
  </si>
  <si>
    <t xml:space="preserve">Player D (vIFT)</t>
  </si>
  <si>
    <t xml:space="preserve">Player E (vIFT)</t>
  </si>
  <si>
    <t xml:space="preserve">Player F (vIFT)</t>
  </si>
  <si>
    <t xml:space="preserve">Player G (vIFT)</t>
  </si>
  <si>
    <t xml:space="preserve">Player H (vIFT)</t>
  </si>
  <si>
    <t xml:space="preserve">Player I (vIFT)</t>
  </si>
  <si>
    <t xml:space="preserve">Player J (vIFT)</t>
  </si>
  <si>
    <t xml:space="preserve">Player K (vIFT)</t>
  </si>
  <si>
    <t xml:space="preserve">Player L (vIFT)</t>
  </si>
  <si>
    <t xml:space="preserve">Player M (vIFT)</t>
  </si>
  <si>
    <t xml:space="preserve">Profile: Endurance (MSS/MAS &lt; 1.7), Hybrid (1.7-1.9), Speed (&gt; 1.9). * = estimated from vIFT (MAS ≈ vIFT/1.25, Buchheit 2011). Profile requires MSS; not available with vIFT only. </t>
  </si>
  <si>
    <t xml:space="preserve">Pathway B: enter vIFT → v_target = %vIFT × vIFT directly. No MAS derivation. Use %vIFT setting (E7).</t>
  </si>
  <si>
    <t xml:space="preserve">If vIFT is entered, Pathway B takes priority (vIFT overrides MAS/MSS). Comfortable rate caps actual braking/accel.</t>
  </si>
  <si>
    <t xml:space="preserve">Group = players bucketed by adjusted distance (bucket size settable in settings).</t>
  </si>
  <si>
    <t xml:space="preserve">Equal leg = total distance divided equally across all legs (alternative to fixed shuttle + last leg). </t>
  </si>
  <si>
    <t xml:space="preserve">Column legend: J = target speed; K = uncorrected (straight-line) distance; M = COD-corrected distance; N = practical distance bucket.</t>
  </si>
  <si>
    <t xml:space="preserve">O = number of legs; P = number of CODs; Q = last leg length; T-U = equal-leg alternative; V = % distance reduction vs straight-line.</t>
  </si>
  <si>
    <t xml:space="preserve">Flag (R): 'Terminal rule applied' = last leg extends beyond shuttle length to preserve total work (see paper for rationale); 'Shuttle longer than required distance, no COD needed' = the straight-line distance is shorter than the shuttle, the player runs straight without reaching the turn cone; 'd_turn≥L' or 'd_turn≈80%L' = direction-change distance approaches shuttle length, prescription may be unrealistic.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</si>
</sst>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"/>
    <numFmt numFmtId="167" formatCode="0.00"/>
    <numFmt numFmtId="168" formatCode="0"/>
    <numFmt numFmtId="169" formatCode="0.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D47A1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i val="true"/>
      <sz val="11"/>
      <color theme="0" tint="-0.35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8"/>
      <color rgb="FF90CAF9"/>
      <name val="Arial"/>
      <family val="2"/>
      <charset val="1"/>
    </font>
    <font>
      <sz val="9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D47A1"/>
      <name val="Arial"/>
      <family val="2"/>
      <charset val="1"/>
    </font>
    <font>
      <b val="true"/>
      <sz val="9"/>
      <color rgb="FFCC6600"/>
      <name val="Arial"/>
      <family val="2"/>
      <charset val="1"/>
    </font>
    <font>
      <i val="true"/>
      <sz val="11"/>
      <color theme="0" tint="-0.35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D47A1"/>
        <bgColor rgb="FF1565C0"/>
      </patternFill>
    </fill>
    <fill>
      <patternFill patternType="solid">
        <fgColor rgb="FFFFF9C4"/>
        <bgColor rgb="FFFFF3E0"/>
      </patternFill>
    </fill>
    <fill>
      <patternFill patternType="solid">
        <fgColor rgb="FF1565C0"/>
        <bgColor rgb="FF0D47A1"/>
      </patternFill>
    </fill>
    <fill>
      <patternFill patternType="solid">
        <fgColor rgb="FFF5F5F5"/>
        <bgColor rgb="FFE8F5E9"/>
      </patternFill>
    </fill>
    <fill>
      <patternFill patternType="solid">
        <fgColor rgb="FFE8F5E9"/>
        <bgColor rgb="FFF5F5F5"/>
      </patternFill>
    </fill>
    <fill>
      <patternFill patternType="solid">
        <fgColor rgb="FFFFF3E0"/>
        <bgColor rgb="FFF5F5F5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BDBDBD"/>
      </left>
      <right/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/>
      <right/>
      <top/>
      <bottom style="thin">
        <color rgb="FFE0E0E0"/>
      </bottom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/>
      <diagonal/>
    </border>
    <border diagonalUp="false" diagonalDown="false">
      <left style="thin">
        <color theme="0" tint="-0.15"/>
      </left>
      <right style="thin">
        <color theme="0" tint="-0.25"/>
      </right>
      <top style="thin">
        <color theme="0" tint="-0.25"/>
      </top>
      <bottom/>
      <diagonal/>
    </border>
    <border diagonalUp="false" diagonalDown="false">
      <left/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 style="thin">
        <color theme="0" tint="-0.15"/>
      </left>
      <right style="thin">
        <color theme="0" tint="-0.25"/>
      </right>
      <top style="thin">
        <color theme="0" tint="-0.25"/>
      </top>
      <bottom style="thin">
        <color theme="0" tint="-0.15"/>
      </bottom>
      <diagonal/>
    </border>
    <border diagonalUp="false" diagonalDown="false">
      <left style="thin">
        <color theme="0" tint="-0.15"/>
      </left>
      <right style="thin">
        <color theme="0" tint="-0.25"/>
      </right>
      <top style="thin">
        <color theme="0" tint="-0.15"/>
      </top>
      <bottom style="thin">
        <color theme="0" tint="-0.25"/>
      </bottom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25"/>
      </top>
      <bottom style="thin">
        <color theme="0" tint="-0.25"/>
      </bottom>
      <diagonal/>
    </border>
    <border diagonalUp="false" diagonalDown="false">
      <left style="thin">
        <color theme="0" tint="-0.15"/>
      </left>
      <right style="thin">
        <color theme="0" tint="-0.25"/>
      </right>
      <top/>
      <bottom style="thin">
        <color theme="0" tint="-0.25"/>
      </bottom>
      <diagonal/>
    </border>
    <border diagonalUp="false" diagonalDown="false">
      <left style="thin">
        <color theme="0" tint="-0.15"/>
      </left>
      <right style="thin">
        <color theme="0" tint="-0.15"/>
      </right>
      <top/>
      <bottom style="thin">
        <color theme="0" tint="-0.25"/>
      </bottom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25"/>
      </top>
      <bottom style="thin">
        <color theme="0" tint="-0.1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0"/>
        <b val="1"/>
        <color rgb="FFE65100"/>
        <sz val="10"/>
      </font>
      <fill>
        <patternFill>
          <bgColor rgb="FFFFF3E0"/>
        </patternFill>
      </fill>
    </dxf>
    <dxf>
      <font>
        <name val="Arial"/>
        <charset val="1"/>
        <family val="0"/>
        <b val="1"/>
        <color rgb="FF2E7D32"/>
        <sz val="10"/>
      </font>
      <fill>
        <patternFill>
          <bgColor rgb="FFE8F5E9"/>
        </patternFill>
      </fill>
    </dxf>
    <dxf>
      <font>
        <name val="Arial"/>
        <charset val="1"/>
        <family val="0"/>
        <b val="1"/>
        <color rgb="FF2E7D32"/>
        <sz val="9"/>
      </font>
      <fill>
        <patternFill>
          <bgColor rgb="FFC8E6C9"/>
        </patternFill>
      </fill>
    </dxf>
    <dxf>
      <font>
        <name val="Arial"/>
        <charset val="1"/>
        <family val="0"/>
        <b val="1"/>
        <color rgb="FFF57F17"/>
        <sz val="9"/>
      </font>
      <fill>
        <patternFill>
          <bgColor rgb="FFFFF9C4"/>
        </patternFill>
      </fill>
    </dxf>
    <dxf>
      <font>
        <name val="Arial"/>
        <charset val="1"/>
        <family val="0"/>
        <b val="1"/>
        <color rgb="FFC62828"/>
        <sz val="9"/>
      </font>
      <fill>
        <patternFill>
          <bgColor rgb="FFFFCDD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CC6600"/>
      <rgbColor rgb="FF800080"/>
      <rgbColor rgb="FF008080"/>
      <rgbColor rgb="FFBFBFBF"/>
      <rgbColor rgb="FF808080"/>
      <rgbColor rgb="FF9999FF"/>
      <rgbColor rgb="FF993366"/>
      <rgbColor rgb="FFFFF9C4"/>
      <rgbColor rgb="FFE8F5E9"/>
      <rgbColor rgb="FF660066"/>
      <rgbColor rgb="FFFF8080"/>
      <rgbColor rgb="FF1565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8E6C9"/>
      <rgbColor rgb="FFFFF3E0"/>
      <rgbColor rgb="FF90CAF9"/>
      <rgbColor rgb="FFE0E0E0"/>
      <rgbColor rgb="FFBDBDBD"/>
      <rgbColor rgb="FFFFCDD2"/>
      <rgbColor rgb="FF3366FF"/>
      <rgbColor rgb="FF33CCCC"/>
      <rgbColor rgb="FF99CC00"/>
      <rgbColor rgb="FFFFCC00"/>
      <rgbColor rgb="FFF57F17"/>
      <rgbColor rgb="FFE65100"/>
      <rgbColor rgb="FF666699"/>
      <rgbColor rgb="FFA6A6A6"/>
      <rgbColor rgb="FF0D47A1"/>
      <rgbColor rgb="FF2E7D32"/>
      <rgbColor rgb="FF003300"/>
      <rgbColor rgb="FF333300"/>
      <rgbColor rgb="FFC62828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5E20"/>
    <pageSetUpPr fitToPage="true"/>
  </sheetPr>
  <dimension ref="B2:AL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7" activeCellId="0" sqref="V7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7.5"/>
    <col collapsed="false" customWidth="true" hidden="false" outlineLevel="0" max="3" min="3" style="1" width="20"/>
    <col collapsed="false" customWidth="true" hidden="false" outlineLevel="0" max="8" min="4" style="1" width="10"/>
    <col collapsed="false" customWidth="true" hidden="false" outlineLevel="0" max="11" min="10" style="1" width="12"/>
    <col collapsed="false" customWidth="true" hidden="false" outlineLevel="0" max="12" min="12" style="1" width="10"/>
    <col collapsed="false" customWidth="true" hidden="false" outlineLevel="0" max="13" min="13" style="1" width="12"/>
    <col collapsed="false" customWidth="true" hidden="false" outlineLevel="0" max="14" min="14" style="1" width="8"/>
    <col collapsed="false" customWidth="true" hidden="false" outlineLevel="0" max="17" min="15" style="1" width="10"/>
    <col collapsed="false" customWidth="true" hidden="false" outlineLevel="0" max="18" min="18" style="1" width="16.67"/>
    <col collapsed="false" customWidth="true" hidden="false" outlineLevel="0" max="19" min="19" style="1" width="13"/>
    <col collapsed="false" customWidth="true" hidden="false" outlineLevel="0" max="20" min="20" style="1" width="10"/>
    <col collapsed="false" customWidth="true" hidden="false" outlineLevel="0" max="21" min="21" style="1" width="14.16"/>
    <col collapsed="false" customWidth="true" hidden="false" outlineLevel="0" max="22" min="22" style="1" width="10"/>
    <col collapsed="false" customWidth="true" hidden="true" outlineLevel="0" max="25" min="23" style="1" width="10"/>
    <col collapsed="false" customWidth="true" hidden="true" outlineLevel="0" max="35" min="26" style="1" width="11.5"/>
    <col collapsed="false" customWidth="true" hidden="true" outlineLevel="0" max="38" min="36" style="1" width="12.16"/>
    <col collapsed="false" customWidth="true" hidden="true" outlineLevel="0" max="39" min="39" style="1" width="13"/>
  </cols>
  <sheetData>
    <row r="2" customFormat="false" ht="19.5" hidden="false" customHeight="true" outlineLevel="0" collapsed="false">
      <c r="B2" s="2" t="s">
        <v>0</v>
      </c>
      <c r="C2" s="3"/>
      <c r="D2" s="3"/>
      <c r="E2" s="3"/>
      <c r="F2" s="3"/>
      <c r="G2" s="3"/>
      <c r="H2" s="3"/>
      <c r="J2" s="3"/>
      <c r="K2" s="3"/>
      <c r="M2" s="3"/>
      <c r="O2" s="3"/>
      <c r="P2" s="3"/>
      <c r="Q2" s="3"/>
    </row>
    <row r="4" customFormat="false" ht="15.75" hidden="false" customHeight="true" outlineLevel="0" collapsed="false">
      <c r="B4" s="4" t="s">
        <v>1</v>
      </c>
      <c r="C4" s="5"/>
      <c r="D4" s="5"/>
      <c r="E4" s="5"/>
    </row>
    <row r="5" customFormat="false" ht="15" hidden="false" customHeight="true" outlineLevel="0" collapsed="false">
      <c r="B5" s="6" t="s">
        <v>2</v>
      </c>
      <c r="C5" s="6"/>
      <c r="D5" s="6"/>
      <c r="E5" s="7" t="n">
        <v>15</v>
      </c>
      <c r="H5" s="8" t="s">
        <v>3</v>
      </c>
    </row>
    <row r="6" customFormat="false" ht="15" hidden="false" customHeight="true" outlineLevel="0" collapsed="false">
      <c r="B6" s="6" t="s">
        <v>4</v>
      </c>
      <c r="C6" s="6"/>
      <c r="D6" s="6"/>
      <c r="E6" s="9" t="n">
        <v>0.25</v>
      </c>
      <c r="H6" s="8" t="s">
        <v>5</v>
      </c>
    </row>
    <row r="7" customFormat="false" ht="15" hidden="false" customHeight="true" outlineLevel="0" collapsed="false">
      <c r="B7" s="6" t="s">
        <v>6</v>
      </c>
      <c r="C7" s="6"/>
      <c r="D7" s="6"/>
      <c r="E7" s="9" t="n">
        <v>0.95</v>
      </c>
      <c r="H7" s="8" t="s">
        <v>7</v>
      </c>
    </row>
    <row r="8" customFormat="false" ht="15" hidden="false" customHeight="true" outlineLevel="0" collapsed="false">
      <c r="B8" s="6" t="s">
        <v>8</v>
      </c>
      <c r="C8" s="6"/>
      <c r="D8" s="6"/>
      <c r="E8" s="7" t="n">
        <v>16</v>
      </c>
      <c r="H8" s="8" t="s">
        <v>9</v>
      </c>
    </row>
    <row r="9" customFormat="false" ht="15" hidden="false" customHeight="true" outlineLevel="0" collapsed="false">
      <c r="B9" s="6" t="s">
        <v>10</v>
      </c>
      <c r="C9" s="6"/>
      <c r="D9" s="6"/>
      <c r="E9" s="9" t="n">
        <v>1</v>
      </c>
      <c r="H9" s="8" t="s">
        <v>11</v>
      </c>
    </row>
    <row r="10" customFormat="false" ht="15" hidden="false" customHeight="true" outlineLevel="0" collapsed="false">
      <c r="B10" s="6" t="s">
        <v>12</v>
      </c>
      <c r="C10" s="6"/>
      <c r="D10" s="6"/>
      <c r="E10" s="9" t="n">
        <v>1</v>
      </c>
    </row>
    <row r="11" customFormat="false" ht="15" hidden="false" customHeight="true" outlineLevel="0" collapsed="false">
      <c r="B11" s="6" t="s">
        <v>13</v>
      </c>
      <c r="C11" s="6"/>
      <c r="D11" s="6"/>
      <c r="E11" s="7" t="s">
        <v>14</v>
      </c>
    </row>
    <row r="12" customFormat="false" ht="15" hidden="false" customHeight="true" outlineLevel="0" collapsed="false">
      <c r="B12" s="10" t="s">
        <v>15</v>
      </c>
      <c r="C12" s="10"/>
      <c r="D12" s="10"/>
      <c r="E12" s="7" t="n">
        <v>5</v>
      </c>
    </row>
    <row r="14" customFormat="false" ht="15" hidden="false" customHeight="true" outlineLevel="0" collapsed="false">
      <c r="B14" s="11" t="s">
        <v>16</v>
      </c>
      <c r="C14" s="11" t="s">
        <v>17</v>
      </c>
      <c r="D14" s="11" t="s">
        <v>18</v>
      </c>
      <c r="E14" s="11" t="s">
        <v>19</v>
      </c>
      <c r="F14" s="11" t="s">
        <v>20</v>
      </c>
      <c r="G14" s="11" t="s">
        <v>21</v>
      </c>
      <c r="H14" s="11" t="s">
        <v>22</v>
      </c>
      <c r="I14" s="11" t="s">
        <v>23</v>
      </c>
      <c r="J14" s="11" t="s">
        <v>24</v>
      </c>
      <c r="K14" s="11" t="s">
        <v>25</v>
      </c>
      <c r="L14" s="12" t="s">
        <v>26</v>
      </c>
      <c r="M14" s="11" t="s">
        <v>27</v>
      </c>
      <c r="N14" s="11" t="s">
        <v>28</v>
      </c>
      <c r="O14" s="11" t="s">
        <v>29</v>
      </c>
      <c r="P14" s="11" t="s">
        <v>30</v>
      </c>
      <c r="Q14" s="11" t="s">
        <v>31</v>
      </c>
      <c r="R14" s="11" t="s">
        <v>32</v>
      </c>
      <c r="S14" s="12" t="s">
        <v>33</v>
      </c>
      <c r="T14" s="11" t="s">
        <v>34</v>
      </c>
      <c r="U14" s="12" t="s">
        <v>35</v>
      </c>
      <c r="V14" s="11" t="s">
        <v>36</v>
      </c>
    </row>
    <row r="15" customFormat="false" ht="15" hidden="false" customHeight="true" outlineLevel="0" collapsed="false">
      <c r="B15" s="13"/>
      <c r="C15" s="13"/>
      <c r="D15" s="13" t="str">
        <f aca="false">$E$11</f>
        <v>km/h</v>
      </c>
      <c r="E15" s="13" t="str">
        <f aca="false">$E$11</f>
        <v>km/h</v>
      </c>
      <c r="F15" s="13" t="str">
        <f aca="false">$E$11</f>
        <v>km/h</v>
      </c>
      <c r="G15" s="13" t="s">
        <v>37</v>
      </c>
      <c r="H15" s="13" t="s">
        <v>37</v>
      </c>
      <c r="I15" s="14"/>
      <c r="J15" s="13" t="s">
        <v>38</v>
      </c>
      <c r="K15" s="13" t="s">
        <v>39</v>
      </c>
      <c r="L15" s="15" t="s">
        <v>39</v>
      </c>
      <c r="M15" s="13" t="s">
        <v>39</v>
      </c>
      <c r="N15" s="15" t="s">
        <v>39</v>
      </c>
      <c r="O15" s="13"/>
      <c r="P15" s="13"/>
      <c r="Q15" s="13" t="s">
        <v>39</v>
      </c>
      <c r="R15" s="13"/>
      <c r="S15" s="15" t="s">
        <v>39</v>
      </c>
      <c r="T15" s="13" t="s">
        <v>39</v>
      </c>
      <c r="U15" s="15" t="s">
        <v>39</v>
      </c>
      <c r="V15" s="13" t="s">
        <v>40</v>
      </c>
    </row>
    <row r="16" customFormat="false" ht="15" hidden="false" customHeight="true" outlineLevel="0" collapsed="false">
      <c r="B16" s="16" t="n">
        <v>1</v>
      </c>
      <c r="C16" s="17" t="s">
        <v>41</v>
      </c>
      <c r="D16" s="7" t="n">
        <v>16</v>
      </c>
      <c r="E16" s="7" t="n">
        <v>32</v>
      </c>
      <c r="F16" s="7"/>
      <c r="G16" s="18" t="n">
        <v>7.5</v>
      </c>
      <c r="H16" s="19" t="n">
        <v>7.5</v>
      </c>
      <c r="I16" s="20" t="str">
        <f aca="false">IF(AND(D16&lt;&gt;"",E16&lt;&gt;""),IF(E16/D16&lt;1.7,"Endurance",IF(E16/D16&gt;1.9,"Speed","Hybrid")),IF(AND(F16&lt;&gt;"",E16&lt;&gt;""),IF(E16/(F16/1.25)&lt;1.7,"Endurance*",IF(E16/(F16/1.25)&gt;1.9,"Speed*","Hybrid*")),""))</f>
        <v>Speed</v>
      </c>
      <c r="J16" s="21" t="n">
        <f aca="false">IF(F16&lt;&gt;"",IF($E$11="km/h",F16/3.6,F16)*$E$7,IF(AND(D16&lt;&gt;"",E16&lt;&gt;""),IF($E$11="km/h",D16/3.6,D16)+$E$6*(IF($E$11="km/h",E16/3.6,E16)-IF($E$11="km/h",D16/3.6,D16)),""))</f>
        <v>5.55555555555556</v>
      </c>
      <c r="K16" s="22" t="n">
        <f aca="false">IF(J16="","",J16*$E$5)</f>
        <v>83.3333333333333</v>
      </c>
      <c r="L16" s="22" t="str">
        <f aca="false">IF(K16="","",MROUND(K16,$E$12)-INT($E$12/2)&amp;"-"&amp;MROUND(K16,$E$12)+INT($E$12/2))</f>
        <v>83-87</v>
      </c>
      <c r="M16" s="23" t="n">
        <f aca="false">IF(J16="","",IF(OR(K16&lt;=$E$8,AG16&lt;$E$8),K16,IF(AND(ROUND(AG16,4)=ROUND(AC16,4),ROUND(AE16,4)&lt;&gt;ROUND(AC16,4)),J16*($E$5-MIN(AF16,AD16)*Y16),IF(AND(AJ16&gt;0.5,AJ16&lt;AL16),J16*($E$5-(AI16-1)*Y16),AG16))))</f>
        <v>66.8724279835391</v>
      </c>
      <c r="N16" s="24" t="str">
        <f aca="false">IF(M16="","",MROUND(M16,$E$12)-INT($E$12/2)&amp;"-"&amp;MROUND(M16,$E$12)+INT($E$12/2))</f>
        <v>63-67</v>
      </c>
      <c r="O16" s="24" t="n">
        <f aca="false">IF(J16="","",P16+1)</f>
        <v>5</v>
      </c>
      <c r="P16" s="25" t="n">
        <f aca="false">IF(J16="","",IF(OR(K16&lt;=$E$8,AG16&lt;$E$8),0,IF(AND(ROUND(AG16,4)=ROUND(AC16,4),ROUND(AE16,4)&lt;&gt;ROUND(AC16,4)),MIN(AF16,AD16),IF(AND(AJ16&gt;0.5,AJ16&lt;AL16),AI16-1,AI16))))</f>
        <v>4</v>
      </c>
      <c r="Q16" s="22" t="n">
        <f aca="false">IF(J16="","",M16-P16*$E$8)</f>
        <v>2.8724279835391</v>
      </c>
      <c r="R16" s="26" t="str">
        <f aca="false">IF(J16="","",IF(P16=0,"Shuttle longer than required distance, no COD needed",IF(J16*Y16&gt;=$E$8,"d_turn≥L",IF(AND(ROUND(AG16,4)=ROUND(AC16,4),ROUND(AE16,4)&lt;&gt;ROUND(AC16,4)),"Terminal rule applied",IF(AND(AJ16&gt;0.5,AJ16&lt;AL16),"Terminal rule applied",IF(Q16&gt;$E$8,"Terminal rule applied",IF(J16*Y16&gt;=0.8*$E$8,"d_turn≈80%L","")))))))</f>
        <v/>
      </c>
      <c r="S16" s="24" t="str">
        <f aca="false">IF(Q16="","",MAX(0,MROUND(Q16,$E$12)-INT($E$12/2))&amp;"-"&amp;MROUND(Q16,$E$12)+INT($E$12/2))</f>
        <v>3-7</v>
      </c>
      <c r="T16" s="23" t="n">
        <f aca="false">IF(OR(M16="",O16="",O16=0),"",ROUND(M16/O16,1))</f>
        <v>13.4</v>
      </c>
      <c r="U16" s="24" t="str">
        <f aca="false">IF(T16="","",ROUND(T16,0)&amp;"-"&amp;ROUND(T16,0)+3)</f>
        <v>13-16</v>
      </c>
      <c r="V16" s="27" t="n">
        <f aca="false">IF(OR(K16="",K16=0),"",(K16-M16)/K16)</f>
        <v>0.197530864197531</v>
      </c>
      <c r="W16" s="1" t="n">
        <f aca="false">IF(J16="","",H16*$E$9)</f>
        <v>7.5</v>
      </c>
      <c r="X16" s="1" t="n">
        <f aca="false">IF(J16="","",G16*$E$10)</f>
        <v>7.5</v>
      </c>
      <c r="Y16" s="1" t="n">
        <f aca="false">IF(J16="","",J16/(2*W16)+J16/(2*X16))</f>
        <v>0.740740740740741</v>
      </c>
      <c r="Z16" s="1" t="n">
        <f aca="false">IF(J16="","",MAX(0,INT(K16/$E$8)-1)+IF((K16-INT(K16/$E$8)*$E$8)&gt;0.5,1,0))</f>
        <v>5</v>
      </c>
      <c r="AA16" s="1" t="n">
        <f aca="false">IF(J16="","",J16*($E$5-Z16*Y16))</f>
        <v>62.7572016460905</v>
      </c>
      <c r="AB16" s="1" t="n">
        <f aca="false">IF(J16="","",MAX(0,INT(AA16/$E$8)-1)+IF((AA16-INT(AA16/$E$8)*$E$8)&gt;0.5,1,0))</f>
        <v>3</v>
      </c>
      <c r="AC16" s="1" t="n">
        <f aca="false">IF(J16="","",J16*($E$5-AB16*Y16))</f>
        <v>70.9876543209877</v>
      </c>
      <c r="AD16" s="1" t="n">
        <f aca="false">IF(J16="","",MAX(0,INT(AC16/$E$8)-1)+IF((AC16-INT(AC16/$E$8)*$E$8)&gt;0.5,1,0))</f>
        <v>4</v>
      </c>
      <c r="AE16" s="1" t="n">
        <f aca="false">IF(J16="","",J16*($E$5-AD16*Y16))</f>
        <v>66.8724279835391</v>
      </c>
      <c r="AF16" s="1" t="n">
        <f aca="false">IF(J16="","",MAX(0,INT(AE16/$E$8)-1)+IF((AE16-INT(AE16/$E$8)*$E$8)&gt;0.5,1,0))</f>
        <v>4</v>
      </c>
      <c r="AG16" s="1" t="n">
        <f aca="false">IF(J16="","",J16*($E$5-AF16*Y16))</f>
        <v>66.8724279835391</v>
      </c>
      <c r="AH16" s="1" t="n">
        <f aca="false">IF(J16="","",INT(AG16/$E$8))</f>
        <v>4</v>
      </c>
      <c r="AI16" s="1" t="n">
        <f aca="false">IF(J16="","",MAX(0,AH16-1)+IF((AG16-AH16*$E$8)&gt;0.5,1,0))</f>
        <v>4</v>
      </c>
      <c r="AJ16" s="1" t="n">
        <f aca="false">IF(J16="","",AG16-AH16*$E$8)</f>
        <v>2.8724279835391</v>
      </c>
      <c r="AK16" s="1" t="n">
        <f aca="false">IF(J16="","",J16*Y16)</f>
        <v>4.11522633744856</v>
      </c>
      <c r="AL16" s="1" t="n">
        <f aca="false">IF(J16="","",J16^2/(2*X16))</f>
        <v>2.05761316872428</v>
      </c>
    </row>
    <row r="17" customFormat="false" ht="15" hidden="false" customHeight="true" outlineLevel="0" collapsed="false">
      <c r="B17" s="28" t="n">
        <v>2</v>
      </c>
      <c r="C17" s="17" t="s">
        <v>42</v>
      </c>
      <c r="D17" s="7" t="n">
        <v>15</v>
      </c>
      <c r="E17" s="7" t="n">
        <v>34</v>
      </c>
      <c r="F17" s="7"/>
      <c r="G17" s="18" t="n">
        <v>7.5</v>
      </c>
      <c r="H17" s="19" t="n">
        <v>7.5</v>
      </c>
      <c r="I17" s="29" t="str">
        <f aca="false">IF(AND(D17&lt;&gt;"",E17&lt;&gt;""),IF(E17/D17&lt;1.7,"Endurance",IF(E17/D17&gt;1.9,"Speed","Hybrid")),IF(AND(F17&lt;&gt;"",E17&lt;&gt;""),IF(E17/(F17/1.25)&lt;1.7,"Endurance*",IF(E17/(F17/1.25)&gt;1.9,"Speed*","Hybrid*")),""))</f>
        <v>Speed</v>
      </c>
      <c r="J17" s="30" t="n">
        <f aca="false">IF(F17&lt;&gt;"",IF($E$11="km/h",F17/3.6,F17)*$E$7,IF(AND(D17&lt;&gt;"",E17&lt;&gt;""),IF($E$11="km/h",D17/3.6,D17)+$E$6*(IF($E$11="km/h",E17/3.6,E17)-IF($E$11="km/h",D17/3.6,D17)),""))</f>
        <v>5.48611111111111</v>
      </c>
      <c r="K17" s="31" t="n">
        <f aca="false">IF(J17="","",J17*$E$5)</f>
        <v>82.2916666666667</v>
      </c>
      <c r="L17" s="31" t="str">
        <f aca="false">IF(K17="","",MROUND(K17,$E$12)-INT($E$12/2)&amp;"-"&amp;MROUND(K17,$E$12)+INT($E$12/2))</f>
        <v>78-82</v>
      </c>
      <c r="M17" s="23" t="n">
        <f aca="false">IF(J17="","",IF(OR(K17&lt;=$E$8,AG17&lt;$E$8),K17,IF(AND(ROUND(AG17,4)=ROUND(AC17,4),ROUND(AE17,4)&lt;&gt;ROUND(AC17,4)),J17*($E$5-MIN(AF17,AD17)*Y17),IF(AND(AJ17&gt;0.5,AJ17&lt;AL17),J17*($E$5-(AI17-1)*Y17),AG17))))</f>
        <v>66.2397119341564</v>
      </c>
      <c r="N17" s="32" t="str">
        <f aca="false">IF(M17="","",MROUND(M17,$E$12)-INT($E$12/2)&amp;"-"&amp;MROUND(M17,$E$12)+INT($E$12/2))</f>
        <v>63-67</v>
      </c>
      <c r="O17" s="32" t="n">
        <f aca="false">IF(J17="","",P17+1)</f>
        <v>5</v>
      </c>
      <c r="P17" s="33" t="n">
        <f aca="false">IF(J17="","",IF(OR(K17&lt;=$E$8,AG17&lt;$E$8),0,IF(AND(ROUND(AG17,4)=ROUND(AC17,4),ROUND(AE17,4)&lt;&gt;ROUND(AC17,4)),MIN(AF17,AD17),IF(AND(AJ17&gt;0.5,AJ17&lt;AL17),AI17-1,AI17))))</f>
        <v>4</v>
      </c>
      <c r="Q17" s="31" t="n">
        <f aca="false">IF(J17="","",M17-P17*$E$8)</f>
        <v>2.23971193415639</v>
      </c>
      <c r="R17" s="26" t="str">
        <f aca="false">IF(J17="","",IF(P17=0,"Shuttle longer than required distance, no COD needed",IF(J17*Y17&gt;=$E$8,"d_turn≥L",IF(AND(ROUND(AG17,4)=ROUND(AC17,4),ROUND(AE17,4)&lt;&gt;ROUND(AC17,4)),"Terminal rule applied",IF(AND(AJ17&gt;0.5,AJ17&lt;AL17),"Terminal rule applied",IF(Q17&gt;$E$8,"Terminal rule applied",IF(J17*Y17&gt;=0.8*$E$8,"d_turn≈80%L","")))))))</f>
        <v/>
      </c>
      <c r="S17" s="32" t="str">
        <f aca="false">IF(Q17="","",MAX(0,MROUND(Q17,$E$12)-INT($E$12/2))&amp;"-"&amp;MROUND(Q17,$E$12)+INT($E$12/2))</f>
        <v>0-2</v>
      </c>
      <c r="T17" s="23" t="n">
        <f aca="false">IF(OR(M17="",O17="",O17=0),"",ROUND(M17/O17,1))</f>
        <v>13.2</v>
      </c>
      <c r="U17" s="32" t="str">
        <f aca="false">IF(T17="","",ROUND(T17,0)&amp;"-"&amp;ROUND(T17,0)+3)</f>
        <v>13-16</v>
      </c>
      <c r="V17" s="34" t="n">
        <f aca="false">IF(OR(K17="",K17=0),"",(K17-M17)/K17)</f>
        <v>0.195061728395062</v>
      </c>
      <c r="W17" s="1" t="n">
        <f aca="false">IF(J17="","",H17*$E$9)</f>
        <v>7.5</v>
      </c>
      <c r="X17" s="1" t="n">
        <f aca="false">IF(J17="","",G17*$E$10)</f>
        <v>7.5</v>
      </c>
      <c r="Y17" s="1" t="n">
        <f aca="false">IF(J17="","",J17/(2*W17)+J17/(2*X17))</f>
        <v>0.731481481481482</v>
      </c>
      <c r="Z17" s="1" t="n">
        <f aca="false">IF(J17="","",MAX(0,INT(K17/$E$8)-1)+IF((K17-INT(K17/$E$8)*$E$8)&gt;0.5,1,0))</f>
        <v>5</v>
      </c>
      <c r="AA17" s="1" t="n">
        <f aca="false">IF(J17="","",J17*($E$5-Z17*Y17))</f>
        <v>62.2267232510288</v>
      </c>
      <c r="AB17" s="1" t="n">
        <f aca="false">IF(J17="","",MAX(0,INT(AA17/$E$8)-1)+IF((AA17-INT(AA17/$E$8)*$E$8)&gt;0.5,1,0))</f>
        <v>3</v>
      </c>
      <c r="AC17" s="1" t="n">
        <f aca="false">IF(J17="","",J17*($E$5-AB17*Y17))</f>
        <v>70.252700617284</v>
      </c>
      <c r="AD17" s="1" t="n">
        <f aca="false">IF(J17="","",MAX(0,INT(AC17/$E$8)-1)+IF((AC17-INT(AC17/$E$8)*$E$8)&gt;0.5,1,0))</f>
        <v>4</v>
      </c>
      <c r="AE17" s="1" t="n">
        <f aca="false">IF(J17="","",J17*($E$5-AD17*Y17))</f>
        <v>66.2397119341564</v>
      </c>
      <c r="AF17" s="1" t="n">
        <f aca="false">IF(J17="","",MAX(0,INT(AE17/$E$8)-1)+IF((AE17-INT(AE17/$E$8)*$E$8)&gt;0.5,1,0))</f>
        <v>4</v>
      </c>
      <c r="AG17" s="1" t="n">
        <f aca="false">IF(J17="","",J17*($E$5-AF17*Y17))</f>
        <v>66.2397119341564</v>
      </c>
      <c r="AH17" s="1" t="n">
        <f aca="false">IF(J17="","",INT(AG17/$E$8))</f>
        <v>4</v>
      </c>
      <c r="AI17" s="1" t="n">
        <f aca="false">IF(J17="","",MAX(0,AH17-1)+IF((AG17-AH17*$E$8)&gt;0.5,1,0))</f>
        <v>4</v>
      </c>
      <c r="AJ17" s="1" t="n">
        <f aca="false">IF(J17="","",AG17-AH17*$E$8)</f>
        <v>2.23971193415639</v>
      </c>
      <c r="AK17" s="1" t="n">
        <f aca="false">IF(J17="","",J17*Y17)</f>
        <v>4.01298868312757</v>
      </c>
      <c r="AL17" s="1" t="n">
        <f aca="false">IF(J17="","",J17^2/(2*X17))</f>
        <v>2.00649434156379</v>
      </c>
    </row>
    <row r="18" customFormat="false" ht="15" hidden="false" customHeight="true" outlineLevel="0" collapsed="false">
      <c r="B18" s="16" t="n">
        <v>3</v>
      </c>
      <c r="C18" s="17" t="s">
        <v>43</v>
      </c>
      <c r="D18" s="7" t="n">
        <v>17</v>
      </c>
      <c r="E18" s="7" t="n">
        <v>30</v>
      </c>
      <c r="F18" s="7"/>
      <c r="G18" s="18" t="n">
        <v>5</v>
      </c>
      <c r="H18" s="19" t="n">
        <v>5</v>
      </c>
      <c r="I18" s="35" t="str">
        <f aca="false">IF(AND(D18&lt;&gt;"",E18&lt;&gt;""),IF(E18/D18&lt;1.7,"Endurance",IF(E18/D18&gt;1.9,"Speed","Hybrid")),IF(AND(F18&lt;&gt;"",E18&lt;&gt;""),IF(E18/(F18/1.25)&lt;1.7,"Endurance*",IF(E18/(F18/1.25)&gt;1.9,"Speed*","Hybrid*")),""))</f>
        <v>Hybrid</v>
      </c>
      <c r="J18" s="21" t="n">
        <f aca="false">IF(F18&lt;&gt;"",IF($E$11="km/h",F18/3.6,F18)*$E$7,IF(AND(D18&lt;&gt;"",E18&lt;&gt;""),IF($E$11="km/h",D18/3.6,D18)+$E$6*(IF($E$11="km/h",E18/3.6,E18)-IF($E$11="km/h",D18/3.6,D18)),""))</f>
        <v>5.625</v>
      </c>
      <c r="K18" s="22" t="n">
        <f aca="false">IF(J18="","",J18*$E$5)</f>
        <v>84.375</v>
      </c>
      <c r="L18" s="22" t="str">
        <f aca="false">IF(K18="","",MROUND(K18,$E$12)-INT($E$12/2)&amp;"-"&amp;MROUND(K18,$E$12)+INT($E$12/2))</f>
        <v>83-87</v>
      </c>
      <c r="M18" s="23" t="n">
        <f aca="false">IF(J18="","",IF(OR(K18&lt;=$E$8,AG18&lt;$E$8),K18,IF(AND(ROUND(AG18,4)=ROUND(AC18,4),ROUND(AE18,4)&lt;&gt;ROUND(AC18,4)),J18*($E$5-MIN(AF18,AD18)*Y18),IF(AND(AJ18&gt;0.5,AJ18&lt;AL18),J18*($E$5-(AI18-1)*Y18),AG18))))</f>
        <v>65.390625</v>
      </c>
      <c r="N18" s="24" t="str">
        <f aca="false">IF(M18="","",MROUND(M18,$E$12)-INT($E$12/2)&amp;"-"&amp;MROUND(M18,$E$12)+INT($E$12/2))</f>
        <v>63-67</v>
      </c>
      <c r="O18" s="24" t="n">
        <f aca="false">IF(J18="","",P18+1)</f>
        <v>4</v>
      </c>
      <c r="P18" s="25" t="n">
        <f aca="false">IF(J18="","",IF(OR(K18&lt;=$E$8,AG18&lt;$E$8),0,IF(AND(ROUND(AG18,4)=ROUND(AC18,4),ROUND(AE18,4)&lt;&gt;ROUND(AC18,4)),MIN(AF18,AD18),IF(AND(AJ18&gt;0.5,AJ18&lt;AL18),AI18-1,AI18))))</f>
        <v>3</v>
      </c>
      <c r="Q18" s="22" t="n">
        <f aca="false">IF(J18="","",M18-P18*$E$8)</f>
        <v>17.390625</v>
      </c>
      <c r="R18" s="26" t="str">
        <f aca="false">IF(J18="","",IF(P18=0,"Shuttle longer than required distance, no COD needed",IF(J18*Y18&gt;=$E$8,"d_turn≥L",IF(AND(ROUND(AG18,4)=ROUND(AC18,4),ROUND(AE18,4)&lt;&gt;ROUND(AC18,4)),"Terminal rule applied",IF(AND(AJ18&gt;0.5,AJ18&lt;AL18),"Terminal rule applied",IF(Q18&gt;$E$8,"Terminal rule applied",IF(J18*Y18&gt;=0.8*$E$8,"d_turn≈80%L","")))))))</f>
        <v>Terminal rule applied</v>
      </c>
      <c r="S18" s="24" t="str">
        <f aca="false">IF(Q18="","",MAX(0,MROUND(Q18,$E$12)-INT($E$12/2))&amp;"-"&amp;MROUND(Q18,$E$12)+INT($E$12/2))</f>
        <v>13-17</v>
      </c>
      <c r="T18" s="23" t="n">
        <f aca="false">IF(OR(M18="",O18="",O18=0),"",ROUND(M18/O18,1))</f>
        <v>16.3</v>
      </c>
      <c r="U18" s="24" t="str">
        <f aca="false">IF(T18="","",ROUND(T18,0)&amp;"-"&amp;ROUND(T18,0)+3)</f>
        <v>16-19</v>
      </c>
      <c r="V18" s="27" t="n">
        <f aca="false">IF(OR(K18="",K18=0),"",(K18-M18)/K18)</f>
        <v>0.225</v>
      </c>
      <c r="W18" s="1" t="n">
        <f aca="false">IF(J18="","",H18*$E$9)</f>
        <v>5</v>
      </c>
      <c r="X18" s="1" t="n">
        <f aca="false">IF(J18="","",G18*$E$10)</f>
        <v>5</v>
      </c>
      <c r="Y18" s="1" t="n">
        <f aca="false">IF(J18="","",J18/(2*W18)+J18/(2*X18))</f>
        <v>1.125</v>
      </c>
      <c r="Z18" s="1" t="n">
        <f aca="false">IF(J18="","",MAX(0,INT(K18/$E$8)-1)+IF((K18-INT(K18/$E$8)*$E$8)&gt;0.5,1,0))</f>
        <v>5</v>
      </c>
      <c r="AA18" s="1" t="n">
        <f aca="false">IF(J18="","",J18*($E$5-Z18*Y18))</f>
        <v>52.734375</v>
      </c>
      <c r="AB18" s="1" t="n">
        <f aca="false">IF(J18="","",MAX(0,INT(AA18/$E$8)-1)+IF((AA18-INT(AA18/$E$8)*$E$8)&gt;0.5,1,0))</f>
        <v>3</v>
      </c>
      <c r="AC18" s="1" t="n">
        <f aca="false">IF(J18="","",J18*($E$5-AB18*Y18))</f>
        <v>65.390625</v>
      </c>
      <c r="AD18" s="1" t="n">
        <f aca="false">IF(J18="","",MAX(0,INT(AC18/$E$8)-1)+IF((AC18-INT(AC18/$E$8)*$E$8)&gt;0.5,1,0))</f>
        <v>4</v>
      </c>
      <c r="AE18" s="1" t="n">
        <f aca="false">IF(J18="","",J18*($E$5-AD18*Y18))</f>
        <v>59.0625</v>
      </c>
      <c r="AF18" s="1" t="n">
        <f aca="false">IF(J18="","",MAX(0,INT(AE18/$E$8)-1)+IF((AE18-INT(AE18/$E$8)*$E$8)&gt;0.5,1,0))</f>
        <v>3</v>
      </c>
      <c r="AG18" s="1" t="n">
        <f aca="false">IF(J18="","",J18*($E$5-AF18*Y18))</f>
        <v>65.390625</v>
      </c>
      <c r="AH18" s="1" t="n">
        <f aca="false">IF(J18="","",INT(AG18/$E$8))</f>
        <v>4</v>
      </c>
      <c r="AI18" s="1" t="n">
        <f aca="false">IF(J18="","",MAX(0,AH18-1)+IF((AG18-AH18*$E$8)&gt;0.5,1,0))</f>
        <v>4</v>
      </c>
      <c r="AJ18" s="1" t="n">
        <f aca="false">IF(J18="","",AG18-AH18*$E$8)</f>
        <v>1.390625</v>
      </c>
      <c r="AK18" s="1" t="n">
        <f aca="false">IF(J18="","",J18*Y18)</f>
        <v>6.328125</v>
      </c>
      <c r="AL18" s="1" t="n">
        <f aca="false">IF(J18="","",J18^2/(2*X18))</f>
        <v>3.1640625</v>
      </c>
    </row>
    <row r="19" customFormat="false" ht="15" hidden="false" customHeight="true" outlineLevel="0" collapsed="false">
      <c r="B19" s="28" t="n">
        <v>4</v>
      </c>
      <c r="C19" s="17" t="s">
        <v>44</v>
      </c>
      <c r="D19" s="7" t="n">
        <v>17</v>
      </c>
      <c r="E19" s="7" t="n">
        <v>30</v>
      </c>
      <c r="F19" s="7"/>
      <c r="G19" s="18" t="n">
        <v>7.5</v>
      </c>
      <c r="H19" s="19" t="n">
        <v>7.5</v>
      </c>
      <c r="I19" s="36" t="str">
        <f aca="false">IF(AND(D19&lt;&gt;"",E19&lt;&gt;""),IF(E19/D19&lt;1.7,"Endurance",IF(E19/D19&gt;1.9,"Speed","Hybrid")),IF(AND(F19&lt;&gt;"",E19&lt;&gt;""),IF(E19/(F19/1.25)&lt;1.7,"Endurance*",IF(E19/(F19/1.25)&gt;1.9,"Speed*","Hybrid*")),""))</f>
        <v>Hybrid</v>
      </c>
      <c r="J19" s="30" t="n">
        <f aca="false">IF(F19&lt;&gt;"",IF($E$11="km/h",F19/3.6,F19)*$E$7,IF(AND(D19&lt;&gt;"",E19&lt;&gt;""),IF($E$11="km/h",D19/3.6,D19)+$E$6*(IF($E$11="km/h",E19/3.6,E19)-IF($E$11="km/h",D19/3.6,D19)),""))</f>
        <v>5.625</v>
      </c>
      <c r="K19" s="31" t="n">
        <f aca="false">IF(J19="","",J19*$E$5)</f>
        <v>84.375</v>
      </c>
      <c r="L19" s="31" t="str">
        <f aca="false">IF(K19="","",MROUND(K19,$E$12)-INT($E$12/2)&amp;"-"&amp;MROUND(K19,$E$12)+INT($E$12/2))</f>
        <v>83-87</v>
      </c>
      <c r="M19" s="23" t="n">
        <f aca="false">IF(J19="","",IF(OR(K19&lt;=$E$8,AG19&lt;$E$8),K19,IF(AND(ROUND(AG19,4)=ROUND(AC19,4),ROUND(AE19,4)&lt;&gt;ROUND(AC19,4)),J19*($E$5-MIN(AF19,AD19)*Y19),IF(AND(AJ19&gt;0.5,AJ19&lt;AL19),J19*($E$5-(AI19-1)*Y19),AG19))))</f>
        <v>67.5</v>
      </c>
      <c r="N19" s="32" t="str">
        <f aca="false">IF(M19="","",MROUND(M19,$E$12)-INT($E$12/2)&amp;"-"&amp;MROUND(M19,$E$12)+INT($E$12/2))</f>
        <v>68-72</v>
      </c>
      <c r="O19" s="32" t="n">
        <f aca="false">IF(J19="","",P19+1)</f>
        <v>5</v>
      </c>
      <c r="P19" s="33" t="n">
        <f aca="false">IF(J19="","",IF(OR(K19&lt;=$E$8,AG19&lt;$E$8),0,IF(AND(ROUND(AG19,4)=ROUND(AC19,4),ROUND(AE19,4)&lt;&gt;ROUND(AC19,4)),MIN(AF19,AD19),IF(AND(AJ19&gt;0.5,AJ19&lt;AL19),AI19-1,AI19))))</f>
        <v>4</v>
      </c>
      <c r="Q19" s="31" t="n">
        <f aca="false">IF(J19="","",M19-P19*$E$8)</f>
        <v>3.5</v>
      </c>
      <c r="R19" s="26" t="str">
        <f aca="false">IF(J19="","",IF(P19=0,"Shuttle longer than required distance, no COD needed",IF(J19*Y19&gt;=$E$8,"d_turn≥L",IF(AND(ROUND(AG19,4)=ROUND(AC19,4),ROUND(AE19,4)&lt;&gt;ROUND(AC19,4)),"Terminal rule applied",IF(AND(AJ19&gt;0.5,AJ19&lt;AL19),"Terminal rule applied",IF(Q19&gt;$E$8,"Terminal rule applied",IF(J19*Y19&gt;=0.8*$E$8,"d_turn≈80%L","")))))))</f>
        <v/>
      </c>
      <c r="S19" s="32" t="str">
        <f aca="false">IF(Q19="","",MAX(0,MROUND(Q19,$E$12)-INT($E$12/2))&amp;"-"&amp;MROUND(Q19,$E$12)+INT($E$12/2))</f>
        <v>3-7</v>
      </c>
      <c r="T19" s="23" t="n">
        <f aca="false">IF(OR(M19="",O19="",O19=0),"",ROUND(M19/O19,1))</f>
        <v>13.5</v>
      </c>
      <c r="U19" s="32" t="str">
        <f aca="false">IF(T19="","",ROUND(T19,0)&amp;"-"&amp;ROUND(T19,0)+3)</f>
        <v>14-17</v>
      </c>
      <c r="V19" s="34" t="n">
        <f aca="false">IF(OR(K19="",K19=0),"",(K19-M19)/K19)</f>
        <v>0.2</v>
      </c>
      <c r="W19" s="1" t="n">
        <f aca="false">IF(J19="","",H19*$E$9)</f>
        <v>7.5</v>
      </c>
      <c r="X19" s="1" t="n">
        <f aca="false">IF(J19="","",G19*$E$10)</f>
        <v>7.5</v>
      </c>
      <c r="Y19" s="1" t="n">
        <f aca="false">IF(J19="","",J19/(2*W19)+J19/(2*X19))</f>
        <v>0.75</v>
      </c>
      <c r="Z19" s="1" t="n">
        <f aca="false">IF(J19="","",MAX(0,INT(K19/$E$8)-1)+IF((K19-INT(K19/$E$8)*$E$8)&gt;0.5,1,0))</f>
        <v>5</v>
      </c>
      <c r="AA19" s="1" t="n">
        <f aca="false">IF(J19="","",J19*($E$5-Z19*Y19))</f>
        <v>63.28125</v>
      </c>
      <c r="AB19" s="1" t="n">
        <f aca="false">IF(J19="","",MAX(0,INT(AA19/$E$8)-1)+IF((AA19-INT(AA19/$E$8)*$E$8)&gt;0.5,1,0))</f>
        <v>3</v>
      </c>
      <c r="AC19" s="1" t="n">
        <f aca="false">IF(J19="","",J19*($E$5-AB19*Y19))</f>
        <v>71.71875</v>
      </c>
      <c r="AD19" s="1" t="n">
        <f aca="false">IF(J19="","",MAX(0,INT(AC19/$E$8)-1)+IF((AC19-INT(AC19/$E$8)*$E$8)&gt;0.5,1,0))</f>
        <v>4</v>
      </c>
      <c r="AE19" s="1" t="n">
        <f aca="false">IF(J19="","",J19*($E$5-AD19*Y19))</f>
        <v>67.5</v>
      </c>
      <c r="AF19" s="1" t="n">
        <f aca="false">IF(J19="","",MAX(0,INT(AE19/$E$8)-1)+IF((AE19-INT(AE19/$E$8)*$E$8)&gt;0.5,1,0))</f>
        <v>4</v>
      </c>
      <c r="AG19" s="1" t="n">
        <f aca="false">IF(J19="","",J19*($E$5-AF19*Y19))</f>
        <v>67.5</v>
      </c>
      <c r="AH19" s="1" t="n">
        <f aca="false">IF(J19="","",INT(AG19/$E$8))</f>
        <v>4</v>
      </c>
      <c r="AI19" s="1" t="n">
        <f aca="false">IF(J19="","",MAX(0,AH19-1)+IF((AG19-AH19*$E$8)&gt;0.5,1,0))</f>
        <v>4</v>
      </c>
      <c r="AJ19" s="1" t="n">
        <f aca="false">IF(J19="","",AG19-AH19*$E$8)</f>
        <v>3.5</v>
      </c>
      <c r="AK19" s="1" t="n">
        <f aca="false">IF(J19="","",J19*Y19)</f>
        <v>4.21875</v>
      </c>
      <c r="AL19" s="1" t="n">
        <f aca="false">IF(J19="","",J19^2/(2*X19))</f>
        <v>2.109375</v>
      </c>
    </row>
    <row r="20" customFormat="false" ht="15" hidden="false" customHeight="true" outlineLevel="0" collapsed="false">
      <c r="B20" s="16" t="n">
        <v>5</v>
      </c>
      <c r="C20" s="17" t="s">
        <v>45</v>
      </c>
      <c r="D20" s="7" t="n">
        <v>19</v>
      </c>
      <c r="E20" s="7" t="n">
        <v>33</v>
      </c>
      <c r="F20" s="7"/>
      <c r="G20" s="18" t="n">
        <v>5</v>
      </c>
      <c r="H20" s="19" t="n">
        <v>5</v>
      </c>
      <c r="I20" s="37" t="str">
        <f aca="false">IF(AND(D20&lt;&gt;"",E20&lt;&gt;""),IF(E20/D20&lt;1.7,"Endurance",IF(E20/D20&gt;1.9,"Speed","Hybrid")),IF(AND(F20&lt;&gt;"",E20&lt;&gt;""),IF(E20/(F20/1.25)&lt;1.7,"Endurance*",IF(E20/(F20/1.25)&gt;1.9,"Speed*","Hybrid*")),""))</f>
        <v>Hybrid</v>
      </c>
      <c r="J20" s="21" t="n">
        <f aca="false">IF(F20&lt;&gt;"",IF($E$11="km/h",F20/3.6,F20)*$E$7,IF(AND(D20&lt;&gt;"",E20&lt;&gt;""),IF($E$11="km/h",D20/3.6,D20)+$E$6*(IF($E$11="km/h",E20/3.6,E20)-IF($E$11="km/h",D20/3.6,D20)),""))</f>
        <v>6.25</v>
      </c>
      <c r="K20" s="22" t="n">
        <f aca="false">IF(J20="","",J20*$E$5)</f>
        <v>93.75</v>
      </c>
      <c r="L20" s="22" t="str">
        <f aca="false">IF(K20="","",MROUND(K20,$E$12)-INT($E$12/2)&amp;"-"&amp;MROUND(K20,$E$12)+INT($E$12/2))</f>
        <v>93-97</v>
      </c>
      <c r="M20" s="23" t="n">
        <f aca="false">IF(J20="","",IF(OR(K20&lt;=$E$8,AG20&lt;$E$8),K20,IF(AND(ROUND(AG20,4)=ROUND(AC20,4),ROUND(AE20,4)&lt;&gt;ROUND(AC20,4)),J20*($E$5-MIN(AF20,AD20)*Y20),IF(AND(AJ20&gt;0.5,AJ20&lt;AL20),J20*($E$5-(AI20-1)*Y20),AG20))))</f>
        <v>70.3125</v>
      </c>
      <c r="N20" s="24" t="str">
        <f aca="false">IF(M20="","",MROUND(M20,$E$12)-INT($E$12/2)&amp;"-"&amp;MROUND(M20,$E$12)+INT($E$12/2))</f>
        <v>68-72</v>
      </c>
      <c r="O20" s="24" t="n">
        <f aca="false">IF(J20="","",P20+1)</f>
        <v>4</v>
      </c>
      <c r="P20" s="25" t="n">
        <f aca="false">IF(J20="","",IF(OR(K20&lt;=$E$8,AG20&lt;$E$8),0,IF(AND(ROUND(AG20,4)=ROUND(AC20,4),ROUND(AE20,4)&lt;&gt;ROUND(AC20,4)),MIN(AF20,AD20),IF(AND(AJ20&gt;0.5,AJ20&lt;AL20),AI20-1,AI20))))</f>
        <v>3</v>
      </c>
      <c r="Q20" s="22" t="n">
        <f aca="false">IF(J20="","",M20-P20*$E$8)</f>
        <v>22.3125</v>
      </c>
      <c r="R20" s="26" t="str">
        <f aca="false">IF(J20="","",IF(P20=0,"Shuttle longer than required distance, no COD needed",IF(J20*Y20&gt;=$E$8,"d_turn≥L",IF(AND(ROUND(AG20,4)=ROUND(AC20,4),ROUND(AE20,4)&lt;&gt;ROUND(AC20,4)),"Terminal rule applied",IF(AND(AJ20&gt;0.5,AJ20&lt;AL20),"Terminal rule applied",IF(Q20&gt;$E$8,"Terminal rule applied",IF(J20*Y20&gt;=0.8*$E$8,"d_turn≈80%L","")))))))</f>
        <v>Terminal rule applied</v>
      </c>
      <c r="S20" s="24" t="str">
        <f aca="false">IF(Q20="","",MAX(0,MROUND(Q20,$E$12)-INT($E$12/2))&amp;"-"&amp;MROUND(Q20,$E$12)+INT($E$12/2))</f>
        <v>18-22</v>
      </c>
      <c r="T20" s="23" t="n">
        <f aca="false">IF(OR(M20="",O20="",O20=0),"",ROUND(M20/O20,1))</f>
        <v>17.6</v>
      </c>
      <c r="U20" s="24" t="str">
        <f aca="false">IF(T20="","",ROUND(T20,0)&amp;"-"&amp;ROUND(T20,0)+3)</f>
        <v>18-21</v>
      </c>
      <c r="V20" s="27" t="n">
        <f aca="false">IF(OR(K20="",K20=0),"",(K20-M20)/K20)</f>
        <v>0.25</v>
      </c>
      <c r="W20" s="1" t="n">
        <f aca="false">IF(J20="","",H20*$E$9)</f>
        <v>5</v>
      </c>
      <c r="X20" s="1" t="n">
        <f aca="false">IF(J20="","",G20*$E$10)</f>
        <v>5</v>
      </c>
      <c r="Y20" s="1" t="n">
        <f aca="false">IF(J20="","",J20/(2*W20)+J20/(2*X20))</f>
        <v>1.25</v>
      </c>
      <c r="Z20" s="1" t="n">
        <f aca="false">IF(J20="","",MAX(0,INT(K20/$E$8)-1)+IF((K20-INT(K20/$E$8)*$E$8)&gt;0.5,1,0))</f>
        <v>5</v>
      </c>
      <c r="AA20" s="1" t="n">
        <f aca="false">IF(J20="","",J20*($E$5-Z20*Y20))</f>
        <v>54.6875</v>
      </c>
      <c r="AB20" s="1" t="n">
        <f aca="false">IF(J20="","",MAX(0,INT(AA20/$E$8)-1)+IF((AA20-INT(AA20/$E$8)*$E$8)&gt;0.5,1,0))</f>
        <v>3</v>
      </c>
      <c r="AC20" s="1" t="n">
        <f aca="false">IF(J20="","",J20*($E$5-AB20*Y20))</f>
        <v>70.3125</v>
      </c>
      <c r="AD20" s="1" t="n">
        <f aca="false">IF(J20="","",MAX(0,INT(AC20/$E$8)-1)+IF((AC20-INT(AC20/$E$8)*$E$8)&gt;0.5,1,0))</f>
        <v>4</v>
      </c>
      <c r="AE20" s="1" t="n">
        <f aca="false">IF(J20="","",J20*($E$5-AD20*Y20))</f>
        <v>62.5</v>
      </c>
      <c r="AF20" s="1" t="n">
        <f aca="false">IF(J20="","",MAX(0,INT(AE20/$E$8)-1)+IF((AE20-INT(AE20/$E$8)*$E$8)&gt;0.5,1,0))</f>
        <v>3</v>
      </c>
      <c r="AG20" s="1" t="n">
        <f aca="false">IF(J20="","",J20*($E$5-AF20*Y20))</f>
        <v>70.3125</v>
      </c>
      <c r="AH20" s="1" t="n">
        <f aca="false">IF(J20="","",INT(AG20/$E$8))</f>
        <v>4</v>
      </c>
      <c r="AI20" s="1" t="n">
        <f aca="false">IF(J20="","",MAX(0,AH20-1)+IF((AG20-AH20*$E$8)&gt;0.5,1,0))</f>
        <v>4</v>
      </c>
      <c r="AJ20" s="1" t="n">
        <f aca="false">IF(J20="","",AG20-AH20*$E$8)</f>
        <v>6.3125</v>
      </c>
      <c r="AK20" s="1" t="n">
        <f aca="false">IF(J20="","",J20*Y20)</f>
        <v>7.8125</v>
      </c>
      <c r="AL20" s="1" t="n">
        <f aca="false">IF(J20="","",J20^2/(2*X20))</f>
        <v>3.90625</v>
      </c>
    </row>
    <row r="21" customFormat="false" ht="15" hidden="false" customHeight="true" outlineLevel="0" collapsed="false">
      <c r="B21" s="28" t="n">
        <v>6</v>
      </c>
      <c r="C21" s="17" t="s">
        <v>46</v>
      </c>
      <c r="D21" s="7" t="n">
        <v>18</v>
      </c>
      <c r="E21" s="7" t="n">
        <v>35</v>
      </c>
      <c r="F21" s="7"/>
      <c r="G21" s="18" t="n">
        <v>7.5</v>
      </c>
      <c r="H21" s="19" t="n">
        <v>7.5</v>
      </c>
      <c r="I21" s="38" t="str">
        <f aca="false">IF(AND(D21&lt;&gt;"",E21&lt;&gt;""),IF(E21/D21&lt;1.7,"Endurance",IF(E21/D21&gt;1.9,"Speed","Hybrid")),IF(AND(F21&lt;&gt;"",E21&lt;&gt;""),IF(E21/(F21/1.25)&lt;1.7,"Endurance*",IF(E21/(F21/1.25)&gt;1.9,"Speed*","Hybrid*")),""))</f>
        <v>Speed</v>
      </c>
      <c r="J21" s="30" t="n">
        <f aca="false">IF(F21&lt;&gt;"",IF($E$11="km/h",F21/3.6,F21)*$E$7,IF(AND(D21&lt;&gt;"",E21&lt;&gt;""),IF($E$11="km/h",D21/3.6,D21)+$E$6*(IF($E$11="km/h",E21/3.6,E21)-IF($E$11="km/h",D21/3.6,D21)),""))</f>
        <v>6.18055555555556</v>
      </c>
      <c r="K21" s="31" t="n">
        <f aca="false">IF(J21="","",J21*$E$5)</f>
        <v>92.7083333333333</v>
      </c>
      <c r="L21" s="31" t="str">
        <f aca="false">IF(K21="","",MROUND(K21,$E$12)-INT($E$12/2)&amp;"-"&amp;MROUND(K21,$E$12)+INT($E$12/2))</f>
        <v>93-97</v>
      </c>
      <c r="M21" s="23" t="n">
        <f aca="false">IF(J21="","",IF(OR(K21&lt;=$E$8,AG21&lt;$E$8),K21,IF(AND(ROUND(AG21,4)=ROUND(AC21,4),ROUND(AE21,4)&lt;&gt;ROUND(AC21,4)),J21*($E$5-MIN(AF21,AD21)*Y21),IF(AND(AJ21&gt;0.5,AJ21&lt;AL21),J21*($E$5-(AI21-1)*Y21),AG21))))</f>
        <v>72.3353909465021</v>
      </c>
      <c r="N21" s="32" t="str">
        <f aca="false">IF(M21="","",MROUND(M21,$E$12)-INT($E$12/2)&amp;"-"&amp;MROUND(M21,$E$12)+INT($E$12/2))</f>
        <v>68-72</v>
      </c>
      <c r="O21" s="32" t="n">
        <f aca="false">IF(J21="","",P21+1)</f>
        <v>5</v>
      </c>
      <c r="P21" s="33" t="n">
        <f aca="false">IF(J21="","",IF(OR(K21&lt;=$E$8,AG21&lt;$E$8),0,IF(AND(ROUND(AG21,4)=ROUND(AC21,4),ROUND(AE21,4)&lt;&gt;ROUND(AC21,4)),MIN(AF21,AD21),IF(AND(AJ21&gt;0.5,AJ21&lt;AL21),AI21-1,AI21))))</f>
        <v>4</v>
      </c>
      <c r="Q21" s="31" t="n">
        <f aca="false">IF(J21="","",M21-P21*$E$8)</f>
        <v>8.33539094650206</v>
      </c>
      <c r="R21" s="26" t="str">
        <f aca="false">IF(J21="","",IF(P21=0,"Shuttle longer than required distance, no COD needed",IF(J21*Y21&gt;=$E$8,"d_turn≥L",IF(AND(ROUND(AG21,4)=ROUND(AC21,4),ROUND(AE21,4)&lt;&gt;ROUND(AC21,4)),"Terminal rule applied",IF(AND(AJ21&gt;0.5,AJ21&lt;AL21),"Terminal rule applied",IF(Q21&gt;$E$8,"Terminal rule applied",IF(J21*Y21&gt;=0.8*$E$8,"d_turn≈80%L","")))))))</f>
        <v/>
      </c>
      <c r="S21" s="32" t="str">
        <f aca="false">IF(Q21="","",MAX(0,MROUND(Q21,$E$12)-INT($E$12/2))&amp;"-"&amp;MROUND(Q21,$E$12)+INT($E$12/2))</f>
        <v>8-12</v>
      </c>
      <c r="T21" s="23" t="n">
        <f aca="false">IF(OR(M21="",O21="",O21=0),"",ROUND(M21/O21,1))</f>
        <v>14.5</v>
      </c>
      <c r="U21" s="32" t="str">
        <f aca="false">IF(T21="","",ROUND(T21,0)&amp;"-"&amp;ROUND(T21,0)+3)</f>
        <v>15-18</v>
      </c>
      <c r="V21" s="34" t="n">
        <f aca="false">IF(OR(K21="",K21=0),"",(K21-M21)/K21)</f>
        <v>0.219753086419753</v>
      </c>
      <c r="W21" s="1" t="n">
        <f aca="false">IF(J21="","",H21*$E$9)</f>
        <v>7.5</v>
      </c>
      <c r="X21" s="1" t="n">
        <f aca="false">IF(J21="","",G21*$E$10)</f>
        <v>7.5</v>
      </c>
      <c r="Y21" s="1" t="n">
        <f aca="false">IF(J21="","",J21/(2*W21)+J21/(2*X21))</f>
        <v>0.824074074074074</v>
      </c>
      <c r="Z21" s="1" t="n">
        <f aca="false">IF(J21="","",MAX(0,INT(K21/$E$8)-1)+IF((K21-INT(K21/$E$8)*$E$8)&gt;0.5,1,0))</f>
        <v>5</v>
      </c>
      <c r="AA21" s="1" t="n">
        <f aca="false">IF(J21="","",J21*($E$5-Z21*Y21))</f>
        <v>67.2421553497942</v>
      </c>
      <c r="AB21" s="1" t="n">
        <f aca="false">IF(J21="","",MAX(0,INT(AA21/$E$8)-1)+IF((AA21-INT(AA21/$E$8)*$E$8)&gt;0.5,1,0))</f>
        <v>4</v>
      </c>
      <c r="AC21" s="1" t="n">
        <f aca="false">IF(J21="","",J21*($E$5-AB21*Y21))</f>
        <v>72.3353909465021</v>
      </c>
      <c r="AD21" s="1" t="n">
        <f aca="false">IF(J21="","",MAX(0,INT(AC21/$E$8)-1)+IF((AC21-INT(AC21/$E$8)*$E$8)&gt;0.5,1,0))</f>
        <v>4</v>
      </c>
      <c r="AE21" s="1" t="n">
        <f aca="false">IF(J21="","",J21*($E$5-AD21*Y21))</f>
        <v>72.3353909465021</v>
      </c>
      <c r="AF21" s="1" t="n">
        <f aca="false">IF(J21="","",MAX(0,INT(AE21/$E$8)-1)+IF((AE21-INT(AE21/$E$8)*$E$8)&gt;0.5,1,0))</f>
        <v>4</v>
      </c>
      <c r="AG21" s="1" t="n">
        <f aca="false">IF(J21="","",J21*($E$5-AF21*Y21))</f>
        <v>72.3353909465021</v>
      </c>
      <c r="AH21" s="1" t="n">
        <f aca="false">IF(J21="","",INT(AG21/$E$8))</f>
        <v>4</v>
      </c>
      <c r="AI21" s="1" t="n">
        <f aca="false">IF(J21="","",MAX(0,AH21-1)+IF((AG21-AH21*$E$8)&gt;0.5,1,0))</f>
        <v>4</v>
      </c>
      <c r="AJ21" s="1" t="n">
        <f aca="false">IF(J21="","",AG21-AH21*$E$8)</f>
        <v>8.33539094650206</v>
      </c>
      <c r="AK21" s="1" t="n">
        <f aca="false">IF(J21="","",J21*Y21)</f>
        <v>5.09323559670782</v>
      </c>
      <c r="AL21" s="1" t="n">
        <f aca="false">IF(J21="","",J21^2/(2*X21))</f>
        <v>2.54661779835391</v>
      </c>
    </row>
    <row r="22" customFormat="false" ht="15" hidden="false" customHeight="true" outlineLevel="0" collapsed="false">
      <c r="B22" s="16" t="n">
        <v>7</v>
      </c>
      <c r="C22" s="17" t="s">
        <v>47</v>
      </c>
      <c r="D22" s="7" t="n">
        <v>15</v>
      </c>
      <c r="E22" s="7" t="n">
        <v>36</v>
      </c>
      <c r="F22" s="7"/>
      <c r="G22" s="18" t="n">
        <v>7.5</v>
      </c>
      <c r="H22" s="19" t="n">
        <v>7.5</v>
      </c>
      <c r="I22" s="37" t="str">
        <f aca="false">IF(AND(D22&lt;&gt;"",E22&lt;&gt;""),IF(E22/D22&lt;1.7,"Endurance",IF(E22/D22&gt;1.9,"Speed","Hybrid")),IF(AND(F22&lt;&gt;"",E22&lt;&gt;""),IF(E22/(F22/1.25)&lt;1.7,"Endurance*",IF(E22/(F22/1.25)&gt;1.9,"Speed*","Hybrid*")),""))</f>
        <v>Speed</v>
      </c>
      <c r="J22" s="21" t="n">
        <f aca="false">IF(F22&lt;&gt;"",IF($E$11="km/h",F22/3.6,F22)*$E$7,IF(AND(D22&lt;&gt;"",E22&lt;&gt;""),IF($E$11="km/h",D22/3.6,D22)+$E$6*(IF($E$11="km/h",E22/3.6,E22)-IF($E$11="km/h",D22/3.6,D22)),""))</f>
        <v>5.625</v>
      </c>
      <c r="K22" s="22" t="n">
        <f aca="false">IF(J22="","",J22*$E$5)</f>
        <v>84.375</v>
      </c>
      <c r="L22" s="22" t="str">
        <f aca="false">IF(K22="","",MROUND(K22,$E$12)-INT($E$12/2)&amp;"-"&amp;MROUND(K22,$E$12)+INT($E$12/2))</f>
        <v>83-87</v>
      </c>
      <c r="M22" s="23" t="n">
        <f aca="false">IF(J22="","",IF(OR(K22&lt;=$E$8,AG22&lt;$E$8),K22,IF(AND(ROUND(AG22,4)=ROUND(AC22,4),ROUND(AE22,4)&lt;&gt;ROUND(AC22,4)),J22*($E$5-MIN(AF22,AD22)*Y22),IF(AND(AJ22&gt;0.5,AJ22&lt;AL22),J22*($E$5-(AI22-1)*Y22),AG22))))</f>
        <v>67.5</v>
      </c>
      <c r="N22" s="24" t="str">
        <f aca="false">IF(M22="","",MROUND(M22,$E$12)-INT($E$12/2)&amp;"-"&amp;MROUND(M22,$E$12)+INT($E$12/2))</f>
        <v>68-72</v>
      </c>
      <c r="O22" s="24" t="n">
        <f aca="false">IF(J22="","",P22+1)</f>
        <v>5</v>
      </c>
      <c r="P22" s="25" t="n">
        <f aca="false">IF(J22="","",IF(OR(K22&lt;=$E$8,AG22&lt;$E$8),0,IF(AND(ROUND(AG22,4)=ROUND(AC22,4),ROUND(AE22,4)&lt;&gt;ROUND(AC22,4)),MIN(AF22,AD22),IF(AND(AJ22&gt;0.5,AJ22&lt;AL22),AI22-1,AI22))))</f>
        <v>4</v>
      </c>
      <c r="Q22" s="22" t="n">
        <f aca="false">IF(J22="","",M22-P22*$E$8)</f>
        <v>3.5</v>
      </c>
      <c r="R22" s="26" t="str">
        <f aca="false">IF(J22="","",IF(P22=0,"Shuttle longer than required distance, no COD needed",IF(J22*Y22&gt;=$E$8,"d_turn≥L",IF(AND(ROUND(AG22,4)=ROUND(AC22,4),ROUND(AE22,4)&lt;&gt;ROUND(AC22,4)),"Terminal rule applied",IF(AND(AJ22&gt;0.5,AJ22&lt;AL22),"Terminal rule applied",IF(Q22&gt;$E$8,"Terminal rule applied",IF(J22*Y22&gt;=0.8*$E$8,"d_turn≈80%L","")))))))</f>
        <v/>
      </c>
      <c r="S22" s="24" t="str">
        <f aca="false">IF(Q22="","",MAX(0,MROUND(Q22,$E$12)-INT($E$12/2))&amp;"-"&amp;MROUND(Q22,$E$12)+INT($E$12/2))</f>
        <v>3-7</v>
      </c>
      <c r="T22" s="23" t="n">
        <f aca="false">IF(OR(M22="",O22="",O22=0),"",ROUND(M22/O22,1))</f>
        <v>13.5</v>
      </c>
      <c r="U22" s="24" t="str">
        <f aca="false">IF(T22="","",ROUND(T22,0)&amp;"-"&amp;ROUND(T22,0)+3)</f>
        <v>14-17</v>
      </c>
      <c r="V22" s="27" t="n">
        <f aca="false">IF(OR(K22="",K22=0),"",(K22-M22)/K22)</f>
        <v>0.2</v>
      </c>
      <c r="W22" s="1" t="n">
        <f aca="false">IF(J22="","",H22*$E$9)</f>
        <v>7.5</v>
      </c>
      <c r="X22" s="1" t="n">
        <f aca="false">IF(J22="","",G22*$E$10)</f>
        <v>7.5</v>
      </c>
      <c r="Y22" s="1" t="n">
        <f aca="false">IF(J22="","",J22/(2*W22)+J22/(2*X22))</f>
        <v>0.75</v>
      </c>
      <c r="Z22" s="1" t="n">
        <f aca="false">IF(J22="","",MAX(0,INT(K22/$E$8)-1)+IF((K22-INT(K22/$E$8)*$E$8)&gt;0.5,1,0))</f>
        <v>5</v>
      </c>
      <c r="AA22" s="1" t="n">
        <f aca="false">IF(J22="","",J22*($E$5-Z22*Y22))</f>
        <v>63.28125</v>
      </c>
      <c r="AB22" s="1" t="n">
        <f aca="false">IF(J22="","",MAX(0,INT(AA22/$E$8)-1)+IF((AA22-INT(AA22/$E$8)*$E$8)&gt;0.5,1,0))</f>
        <v>3</v>
      </c>
      <c r="AC22" s="1" t="n">
        <f aca="false">IF(J22="","",J22*($E$5-AB22*Y22))</f>
        <v>71.71875</v>
      </c>
      <c r="AD22" s="1" t="n">
        <f aca="false">IF(J22="","",MAX(0,INT(AC22/$E$8)-1)+IF((AC22-INT(AC22/$E$8)*$E$8)&gt;0.5,1,0))</f>
        <v>4</v>
      </c>
      <c r="AE22" s="1" t="n">
        <f aca="false">IF(J22="","",J22*($E$5-AD22*Y22))</f>
        <v>67.5</v>
      </c>
      <c r="AF22" s="1" t="n">
        <f aca="false">IF(J22="","",MAX(0,INT(AE22/$E$8)-1)+IF((AE22-INT(AE22/$E$8)*$E$8)&gt;0.5,1,0))</f>
        <v>4</v>
      </c>
      <c r="AG22" s="1" t="n">
        <f aca="false">IF(J22="","",J22*($E$5-AF22*Y22))</f>
        <v>67.5</v>
      </c>
      <c r="AH22" s="1" t="n">
        <f aca="false">IF(J22="","",INT(AG22/$E$8))</f>
        <v>4</v>
      </c>
      <c r="AI22" s="1" t="n">
        <f aca="false">IF(J22="","",MAX(0,AH22-1)+IF((AG22-AH22*$E$8)&gt;0.5,1,0))</f>
        <v>4</v>
      </c>
      <c r="AJ22" s="1" t="n">
        <f aca="false">IF(J22="","",AG22-AH22*$E$8)</f>
        <v>3.5</v>
      </c>
      <c r="AK22" s="1" t="n">
        <f aca="false">IF(J22="","",J22*Y22)</f>
        <v>4.21875</v>
      </c>
      <c r="AL22" s="1" t="n">
        <f aca="false">IF(J22="","",J22^2/(2*X22))</f>
        <v>2.109375</v>
      </c>
    </row>
    <row r="23" customFormat="false" ht="15" hidden="false" customHeight="true" outlineLevel="0" collapsed="false">
      <c r="B23" s="28" t="n">
        <v>8</v>
      </c>
      <c r="C23" s="17" t="s">
        <v>48</v>
      </c>
      <c r="D23" s="7" t="n">
        <v>20</v>
      </c>
      <c r="E23" s="7" t="n">
        <v>30</v>
      </c>
      <c r="F23" s="7"/>
      <c r="G23" s="18" t="n">
        <v>6</v>
      </c>
      <c r="H23" s="19" t="n">
        <v>6</v>
      </c>
      <c r="I23" s="36" t="str">
        <f aca="false">IF(AND(D23&lt;&gt;"",E23&lt;&gt;""),IF(E23/D23&lt;1.7,"Endurance",IF(E23/D23&gt;1.9,"Speed","Hybrid")),IF(AND(F23&lt;&gt;"",E23&lt;&gt;""),IF(E23/(F23/1.25)&lt;1.7,"Endurance*",IF(E23/(F23/1.25)&gt;1.9,"Speed*","Hybrid*")),""))</f>
        <v>Endurance</v>
      </c>
      <c r="J23" s="30" t="n">
        <f aca="false">IF(F23&lt;&gt;"",IF($E$11="km/h",F23/3.6,F23)*$E$7,IF(AND(D23&lt;&gt;"",E23&lt;&gt;""),IF($E$11="km/h",D23/3.6,D23)+$E$6*(IF($E$11="km/h",E23/3.6,E23)-IF($E$11="km/h",D23/3.6,D23)),""))</f>
        <v>6.25</v>
      </c>
      <c r="K23" s="31" t="n">
        <f aca="false">IF(J23="","",J23*$E$5)</f>
        <v>93.75</v>
      </c>
      <c r="L23" s="31" t="str">
        <f aca="false">IF(K23="","",MROUND(K23,$E$12)-INT($E$12/2)&amp;"-"&amp;MROUND(K23,$E$12)+INT($E$12/2))</f>
        <v>93-97</v>
      </c>
      <c r="M23" s="23" t="n">
        <f aca="false">IF(J23="","",IF(OR(K23&lt;=$E$8,AG23&lt;$E$8),K23,IF(AND(ROUND(AG23,4)=ROUND(AC23,4),ROUND(AE23,4)&lt;&gt;ROUND(AC23,4)),J23*($E$5-MIN(AF23,AD23)*Y23),IF(AND(AJ23&gt;0.5,AJ23&lt;AL23),J23*($E$5-(AI23-1)*Y23),AG23))))</f>
        <v>67.7083333333333</v>
      </c>
      <c r="N23" s="32" t="str">
        <f aca="false">IF(M23="","",MROUND(M23,$E$12)-INT($E$12/2)&amp;"-"&amp;MROUND(M23,$E$12)+INT($E$12/2))</f>
        <v>68-72</v>
      </c>
      <c r="O23" s="32" t="n">
        <f aca="false">IF(J23="","",P23+1)</f>
        <v>5</v>
      </c>
      <c r="P23" s="33" t="n">
        <f aca="false">IF(J23="","",IF(OR(K23&lt;=$E$8,AG23&lt;$E$8),0,IF(AND(ROUND(AG23,4)=ROUND(AC23,4),ROUND(AE23,4)&lt;&gt;ROUND(AC23,4)),MIN(AF23,AD23),IF(AND(AJ23&gt;0.5,AJ23&lt;AL23),AI23-1,AI23))))</f>
        <v>4</v>
      </c>
      <c r="Q23" s="31" t="n">
        <f aca="false">IF(J23="","",M23-P23*$E$8)</f>
        <v>3.70833333333333</v>
      </c>
      <c r="R23" s="26" t="str">
        <f aca="false">IF(J23="","",IF(P23=0,"Shuttle longer than required distance, no COD needed",IF(J23*Y23&gt;=$E$8,"d_turn≥L",IF(AND(ROUND(AG23,4)=ROUND(AC23,4),ROUND(AE23,4)&lt;&gt;ROUND(AC23,4)),"Terminal rule applied",IF(AND(AJ23&gt;0.5,AJ23&lt;AL23),"Terminal rule applied",IF(Q23&gt;$E$8,"Terminal rule applied",IF(J23*Y23&gt;=0.8*$E$8,"d_turn≈80%L","")))))))</f>
        <v/>
      </c>
      <c r="S23" s="32" t="str">
        <f aca="false">IF(Q23="","",MAX(0,MROUND(Q23,$E$12)-INT($E$12/2))&amp;"-"&amp;MROUND(Q23,$E$12)+INT($E$12/2))</f>
        <v>3-7</v>
      </c>
      <c r="T23" s="23" t="n">
        <f aca="false">IF(OR(M23="",O23="",O23=0),"",ROUND(M23/O23,1))</f>
        <v>13.5</v>
      </c>
      <c r="U23" s="32" t="str">
        <f aca="false">IF(T23="","",ROUND(T23,0)&amp;"-"&amp;ROUND(T23,0)+3)</f>
        <v>14-17</v>
      </c>
      <c r="V23" s="34" t="n">
        <f aca="false">IF(OR(K23="",K23=0),"",(K23-M23)/K23)</f>
        <v>0.277777777777778</v>
      </c>
      <c r="W23" s="1" t="n">
        <f aca="false">IF(J23="","",H23*$E$9)</f>
        <v>6</v>
      </c>
      <c r="X23" s="1" t="n">
        <f aca="false">IF(J23="","",G23*$E$10)</f>
        <v>6</v>
      </c>
      <c r="Y23" s="1" t="n">
        <f aca="false">IF(J23="","",J23/(2*W23)+J23/(2*X23))</f>
        <v>1.04166666666667</v>
      </c>
      <c r="Z23" s="1" t="n">
        <f aca="false">IF(J23="","",MAX(0,INT(K23/$E$8)-1)+IF((K23-INT(K23/$E$8)*$E$8)&gt;0.5,1,0))</f>
        <v>5</v>
      </c>
      <c r="AA23" s="1" t="n">
        <f aca="false">IF(J23="","",J23*($E$5-Z23*Y23))</f>
        <v>61.1979166666667</v>
      </c>
      <c r="AB23" s="1" t="n">
        <f aca="false">IF(J23="","",MAX(0,INT(AA23/$E$8)-1)+IF((AA23-INT(AA23/$E$8)*$E$8)&gt;0.5,1,0))</f>
        <v>3</v>
      </c>
      <c r="AC23" s="1" t="n">
        <f aca="false">IF(J23="","",J23*($E$5-AB23*Y23))</f>
        <v>74.21875</v>
      </c>
      <c r="AD23" s="1" t="n">
        <f aca="false">IF(J23="","",MAX(0,INT(AC23/$E$8)-1)+IF((AC23-INT(AC23/$E$8)*$E$8)&gt;0.5,1,0))</f>
        <v>4</v>
      </c>
      <c r="AE23" s="1" t="n">
        <f aca="false">IF(J23="","",J23*($E$5-AD23*Y23))</f>
        <v>67.7083333333333</v>
      </c>
      <c r="AF23" s="1" t="n">
        <f aca="false">IF(J23="","",MAX(0,INT(AE23/$E$8)-1)+IF((AE23-INT(AE23/$E$8)*$E$8)&gt;0.5,1,0))</f>
        <v>4</v>
      </c>
      <c r="AG23" s="1" t="n">
        <f aca="false">IF(J23="","",J23*($E$5-AF23*Y23))</f>
        <v>67.7083333333333</v>
      </c>
      <c r="AH23" s="1" t="n">
        <f aca="false">IF(J23="","",INT(AG23/$E$8))</f>
        <v>4</v>
      </c>
      <c r="AI23" s="1" t="n">
        <f aca="false">IF(J23="","",MAX(0,AH23-1)+IF((AG23-AH23*$E$8)&gt;0.5,1,0))</f>
        <v>4</v>
      </c>
      <c r="AJ23" s="1" t="n">
        <f aca="false">IF(J23="","",AG23-AH23*$E$8)</f>
        <v>3.70833333333333</v>
      </c>
      <c r="AK23" s="1" t="n">
        <f aca="false">IF(J23="","",J23*Y23)</f>
        <v>6.51041666666667</v>
      </c>
      <c r="AL23" s="1" t="n">
        <f aca="false">IF(J23="","",J23^2/(2*X23))</f>
        <v>3.25520833333333</v>
      </c>
    </row>
    <row r="24" customFormat="false" ht="15" hidden="false" customHeight="true" outlineLevel="0" collapsed="false">
      <c r="B24" s="16" t="n">
        <v>9</v>
      </c>
      <c r="C24" s="17" t="s">
        <v>49</v>
      </c>
      <c r="D24" s="7" t="n">
        <v>19</v>
      </c>
      <c r="E24" s="7" t="n">
        <v>31</v>
      </c>
      <c r="F24" s="7"/>
      <c r="G24" s="18" t="n">
        <v>7.5</v>
      </c>
      <c r="H24" s="19" t="n">
        <v>7.5</v>
      </c>
      <c r="I24" s="36" t="str">
        <f aca="false">IF(AND(D24&lt;&gt;"",E24&lt;&gt;""),IF(E24/D24&lt;1.7,"Endurance",IF(E24/D24&gt;1.9,"Speed","Hybrid")),IF(AND(F24&lt;&gt;"",E24&lt;&gt;""),IF(E24/(F24/1.25)&lt;1.7,"Endurance*",IF(E24/(F24/1.25)&gt;1.9,"Speed*","Hybrid*")),""))</f>
        <v>Endurance</v>
      </c>
      <c r="J24" s="21" t="n">
        <f aca="false">IF(F24&lt;&gt;"",IF($E$11="km/h",F24/3.6,F24)*$E$7,IF(AND(D24&lt;&gt;"",E24&lt;&gt;""),IF($E$11="km/h",D24/3.6,D24)+$E$6*(IF($E$11="km/h",E24/3.6,E24)-IF($E$11="km/h",D24/3.6,D24)),""))</f>
        <v>6.11111111111111</v>
      </c>
      <c r="K24" s="22" t="n">
        <f aca="false">IF(J24="","",J24*$E$5)</f>
        <v>91.6666666666667</v>
      </c>
      <c r="L24" s="22" t="str">
        <f aca="false">IF(K24="","",MROUND(K24,$E$12)-INT($E$12/2)&amp;"-"&amp;MROUND(K24,$E$12)+INT($E$12/2))</f>
        <v>88-92</v>
      </c>
      <c r="M24" s="23" t="n">
        <f aca="false">IF(J24="","",IF(OR(K24&lt;=$E$8,AG24&lt;$E$8),K24,IF(AND(ROUND(AG24,4)=ROUND(AC24,4),ROUND(AE24,4)&lt;&gt;ROUND(AC24,4)),J24*($E$5-MIN(AF24,AD24)*Y24),IF(AND(AJ24&gt;0.5,AJ24&lt;AL24),J24*($E$5-(AI24-1)*Y24),AG24))))</f>
        <v>71.7489711934156</v>
      </c>
      <c r="N24" s="24" t="str">
        <f aca="false">IF(M24="","",MROUND(M24,$E$12)-INT($E$12/2)&amp;"-"&amp;MROUND(M24,$E$12)+INT($E$12/2))</f>
        <v>68-72</v>
      </c>
      <c r="O24" s="24" t="n">
        <f aca="false">IF(J24="","",P24+1)</f>
        <v>5</v>
      </c>
      <c r="P24" s="25" t="n">
        <f aca="false">IF(J24="","",IF(OR(K24&lt;=$E$8,AG24&lt;$E$8),0,IF(AND(ROUND(AG24,4)=ROUND(AC24,4),ROUND(AE24,4)&lt;&gt;ROUND(AC24,4)),MIN(AF24,AD24),IF(AND(AJ24&gt;0.5,AJ24&lt;AL24),AI24-1,AI24))))</f>
        <v>4</v>
      </c>
      <c r="Q24" s="22" t="n">
        <f aca="false">IF(J24="","",M24-P24*$E$8)</f>
        <v>7.74897119341563</v>
      </c>
      <c r="R24" s="26" t="str">
        <f aca="false">IF(J24="","",IF(P24=0,"Shuttle longer than required distance, no COD needed",IF(J24*Y24&gt;=$E$8,"d_turn≥L",IF(AND(ROUND(AG24,4)=ROUND(AC24,4),ROUND(AE24,4)&lt;&gt;ROUND(AC24,4)),"Terminal rule applied",IF(AND(AJ24&gt;0.5,AJ24&lt;AL24),"Terminal rule applied",IF(Q24&gt;$E$8,"Terminal rule applied",IF(J24*Y24&gt;=0.8*$E$8,"d_turn≈80%L","")))))))</f>
        <v/>
      </c>
      <c r="S24" s="24" t="str">
        <f aca="false">IF(Q24="","",MAX(0,MROUND(Q24,$E$12)-INT($E$12/2))&amp;"-"&amp;MROUND(Q24,$E$12)+INT($E$12/2))</f>
        <v>8-12</v>
      </c>
      <c r="T24" s="23" t="n">
        <f aca="false">IF(OR(M24="",O24="",O24=0),"",ROUND(M24/O24,1))</f>
        <v>14.3</v>
      </c>
      <c r="U24" s="24" t="str">
        <f aca="false">IF(T24="","",ROUND(T24,0)&amp;"-"&amp;ROUND(T24,0)+3)</f>
        <v>14-17</v>
      </c>
      <c r="V24" s="27" t="n">
        <f aca="false">IF(OR(K24="",K24=0),"",(K24-M24)/K24)</f>
        <v>0.217283950617284</v>
      </c>
      <c r="W24" s="1" t="n">
        <f aca="false">IF(J24="","",H24*$E$9)</f>
        <v>7.5</v>
      </c>
      <c r="X24" s="1" t="n">
        <f aca="false">IF(J24="","",G24*$E$10)</f>
        <v>7.5</v>
      </c>
      <c r="Y24" s="1" t="n">
        <f aca="false">IF(J24="","",J24/(2*W24)+J24/(2*X24))</f>
        <v>0.814814814814815</v>
      </c>
      <c r="Z24" s="1" t="n">
        <f aca="false">IF(J24="","",MAX(0,INT(K24/$E$8)-1)+IF((K24-INT(K24/$E$8)*$E$8)&gt;0.5,1,0))</f>
        <v>5</v>
      </c>
      <c r="AA24" s="1" t="n">
        <f aca="false">IF(J24="","",J24*($E$5-Z24*Y24))</f>
        <v>66.7695473251029</v>
      </c>
      <c r="AB24" s="1" t="n">
        <f aca="false">IF(J24="","",MAX(0,INT(AA24/$E$8)-1)+IF((AA24-INT(AA24/$E$8)*$E$8)&gt;0.5,1,0))</f>
        <v>4</v>
      </c>
      <c r="AC24" s="1" t="n">
        <f aca="false">IF(J24="","",J24*($E$5-AB24*Y24))</f>
        <v>71.7489711934156</v>
      </c>
      <c r="AD24" s="1" t="n">
        <f aca="false">IF(J24="","",MAX(0,INT(AC24/$E$8)-1)+IF((AC24-INT(AC24/$E$8)*$E$8)&gt;0.5,1,0))</f>
        <v>4</v>
      </c>
      <c r="AE24" s="1" t="n">
        <f aca="false">IF(J24="","",J24*($E$5-AD24*Y24))</f>
        <v>71.7489711934156</v>
      </c>
      <c r="AF24" s="1" t="n">
        <f aca="false">IF(J24="","",MAX(0,INT(AE24/$E$8)-1)+IF((AE24-INT(AE24/$E$8)*$E$8)&gt;0.5,1,0))</f>
        <v>4</v>
      </c>
      <c r="AG24" s="1" t="n">
        <f aca="false">IF(J24="","",J24*($E$5-AF24*Y24))</f>
        <v>71.7489711934156</v>
      </c>
      <c r="AH24" s="1" t="n">
        <f aca="false">IF(J24="","",INT(AG24/$E$8))</f>
        <v>4</v>
      </c>
      <c r="AI24" s="1" t="n">
        <f aca="false">IF(J24="","",MAX(0,AH24-1)+IF((AG24-AH24*$E$8)&gt;0.5,1,0))</f>
        <v>4</v>
      </c>
      <c r="AJ24" s="1" t="n">
        <f aca="false">IF(J24="","",AG24-AH24*$E$8)</f>
        <v>7.74897119341563</v>
      </c>
      <c r="AK24" s="1" t="n">
        <f aca="false">IF(J24="","",J24*Y24)</f>
        <v>4.97942386831276</v>
      </c>
      <c r="AL24" s="1" t="n">
        <f aca="false">IF(J24="","",J24^2/(2*X24))</f>
        <v>2.48971193415638</v>
      </c>
    </row>
    <row r="25" customFormat="false" ht="15" hidden="false" customHeight="true" outlineLevel="0" collapsed="false">
      <c r="B25" s="28" t="n">
        <v>10</v>
      </c>
      <c r="C25" s="17" t="s">
        <v>50</v>
      </c>
      <c r="D25" s="7" t="n">
        <v>18.5</v>
      </c>
      <c r="E25" s="7" t="n">
        <v>30</v>
      </c>
      <c r="F25" s="7"/>
      <c r="G25" s="18" t="n">
        <v>5</v>
      </c>
      <c r="H25" s="19" t="n">
        <v>5</v>
      </c>
      <c r="I25" s="38" t="str">
        <f aca="false">IF(AND(D25&lt;&gt;"",E25&lt;&gt;""),IF(E25/D25&lt;1.7,"Endurance",IF(E25/D25&gt;1.9,"Speed","Hybrid")),IF(AND(F25&lt;&gt;"",E25&lt;&gt;""),IF(E25/(F25/1.25)&lt;1.7,"Endurance*",IF(E25/(F25/1.25)&gt;1.9,"Speed*","Hybrid*")),""))</f>
        <v>Endurance</v>
      </c>
      <c r="J25" s="30" t="n">
        <f aca="false">IF(F25&lt;&gt;"",IF($E$11="km/h",F25/3.6,F25)*$E$7,IF(AND(D25&lt;&gt;"",E25&lt;&gt;""),IF($E$11="km/h",D25/3.6,D25)+$E$6*(IF($E$11="km/h",E25/3.6,E25)-IF($E$11="km/h",D25/3.6,D25)),""))</f>
        <v>5.9375</v>
      </c>
      <c r="K25" s="31" t="n">
        <f aca="false">IF(J25="","",J25*$E$5)</f>
        <v>89.0625</v>
      </c>
      <c r="L25" s="31" t="str">
        <f aca="false">IF(K25="","",MROUND(K25,$E$12)-INT($E$12/2)&amp;"-"&amp;MROUND(K25,$E$12)+INT($E$12/2))</f>
        <v>88-92</v>
      </c>
      <c r="M25" s="23" t="n">
        <f aca="false">IF(J25="","",IF(OR(K25&lt;=$E$8,AG25&lt;$E$8),K25,IF(AND(ROUND(AG25,4)=ROUND(AC25,4),ROUND(AE25,4)&lt;&gt;ROUND(AC25,4)),J25*($E$5-MIN(AF25,AD25)*Y25),IF(AND(AJ25&gt;0.5,AJ25&lt;AL25),J25*($E$5-(AI25-1)*Y25),AG25))))</f>
        <v>67.91015625</v>
      </c>
      <c r="N25" s="32" t="str">
        <f aca="false">IF(M25="","",MROUND(M25,$E$12)-INT($E$12/2)&amp;"-"&amp;MROUND(M25,$E$12)+INT($E$12/2))</f>
        <v>68-72</v>
      </c>
      <c r="O25" s="32" t="n">
        <f aca="false">IF(J25="","",P25+1)</f>
        <v>4</v>
      </c>
      <c r="P25" s="33" t="n">
        <f aca="false">IF(J25="","",IF(OR(K25&lt;=$E$8,AG25&lt;$E$8),0,IF(AND(ROUND(AG25,4)=ROUND(AC25,4),ROUND(AE25,4)&lt;&gt;ROUND(AC25,4)),MIN(AF25,AD25),IF(AND(AJ25&gt;0.5,AJ25&lt;AL25),AI25-1,AI25))))</f>
        <v>3</v>
      </c>
      <c r="Q25" s="31" t="n">
        <f aca="false">IF(J25="","",M25-P25*$E$8)</f>
        <v>19.91015625</v>
      </c>
      <c r="R25" s="26" t="str">
        <f aca="false">IF(J25="","",IF(P25=0,"Shuttle longer than required distance, no COD needed",IF(J25*Y25&gt;=$E$8,"d_turn≥L",IF(AND(ROUND(AG25,4)=ROUND(AC25,4),ROUND(AE25,4)&lt;&gt;ROUND(AC25,4)),"Terminal rule applied",IF(AND(AJ25&gt;0.5,AJ25&lt;AL25),"Terminal rule applied",IF(Q25&gt;$E$8,"Terminal rule applied",IF(J25*Y25&gt;=0.8*$E$8,"d_turn≈80%L","")))))))</f>
        <v>Terminal rule applied</v>
      </c>
      <c r="S25" s="32" t="str">
        <f aca="false">IF(Q25="","",MAX(0,MROUND(Q25,$E$12)-INT($E$12/2))&amp;"-"&amp;MROUND(Q25,$E$12)+INT($E$12/2))</f>
        <v>18-22</v>
      </c>
      <c r="T25" s="23" t="n">
        <f aca="false">IF(OR(M25="",O25="",O25=0),"",ROUND(M25/O25,1))</f>
        <v>17</v>
      </c>
      <c r="U25" s="32" t="str">
        <f aca="false">IF(T25="","",ROUND(T25,0)&amp;"-"&amp;ROUND(T25,0)+3)</f>
        <v>17-20</v>
      </c>
      <c r="V25" s="34" t="n">
        <f aca="false">IF(OR(K25="",K25=0),"",(K25-M25)/K25)</f>
        <v>0.2375</v>
      </c>
      <c r="W25" s="1" t="n">
        <f aca="false">IF(J25="","",H25*$E$9)</f>
        <v>5</v>
      </c>
      <c r="X25" s="1" t="n">
        <f aca="false">IF(J25="","",G25*$E$10)</f>
        <v>5</v>
      </c>
      <c r="Y25" s="1" t="n">
        <f aca="false">IF(J25="","",J25/(2*W25)+J25/(2*X25))</f>
        <v>1.1875</v>
      </c>
      <c r="Z25" s="1" t="n">
        <f aca="false">IF(J25="","",MAX(0,INT(K25/$E$8)-1)+IF((K25-INT(K25/$E$8)*$E$8)&gt;0.5,1,0))</f>
        <v>5</v>
      </c>
      <c r="AA25" s="1" t="n">
        <f aca="false">IF(J25="","",J25*($E$5-Z25*Y25))</f>
        <v>53.80859375</v>
      </c>
      <c r="AB25" s="1" t="n">
        <f aca="false">IF(J25="","",MAX(0,INT(AA25/$E$8)-1)+IF((AA25-INT(AA25/$E$8)*$E$8)&gt;0.5,1,0))</f>
        <v>3</v>
      </c>
      <c r="AC25" s="1" t="n">
        <f aca="false">IF(J25="","",J25*($E$5-AB25*Y25))</f>
        <v>67.91015625</v>
      </c>
      <c r="AD25" s="1" t="n">
        <f aca="false">IF(J25="","",MAX(0,INT(AC25/$E$8)-1)+IF((AC25-INT(AC25/$E$8)*$E$8)&gt;0.5,1,0))</f>
        <v>4</v>
      </c>
      <c r="AE25" s="1" t="n">
        <f aca="false">IF(J25="","",J25*($E$5-AD25*Y25))</f>
        <v>60.859375</v>
      </c>
      <c r="AF25" s="1" t="n">
        <f aca="false">IF(J25="","",MAX(0,INT(AE25/$E$8)-1)+IF((AE25-INT(AE25/$E$8)*$E$8)&gt;0.5,1,0))</f>
        <v>3</v>
      </c>
      <c r="AG25" s="1" t="n">
        <f aca="false">IF(J25="","",J25*($E$5-AF25*Y25))</f>
        <v>67.91015625</v>
      </c>
      <c r="AH25" s="1" t="n">
        <f aca="false">IF(J25="","",INT(AG25/$E$8))</f>
        <v>4</v>
      </c>
      <c r="AI25" s="1" t="n">
        <f aca="false">IF(J25="","",MAX(0,AH25-1)+IF((AG25-AH25*$E$8)&gt;0.5,1,0))</f>
        <v>4</v>
      </c>
      <c r="AJ25" s="1" t="n">
        <f aca="false">IF(J25="","",AG25-AH25*$E$8)</f>
        <v>3.91015625</v>
      </c>
      <c r="AK25" s="1" t="n">
        <f aca="false">IF(J25="","",J25*Y25)</f>
        <v>7.05078125</v>
      </c>
      <c r="AL25" s="1" t="n">
        <f aca="false">IF(J25="","",J25^2/(2*X25))</f>
        <v>3.525390625</v>
      </c>
    </row>
    <row r="26" customFormat="false" ht="15" hidden="false" customHeight="true" outlineLevel="0" collapsed="false">
      <c r="B26" s="16" t="n">
        <v>11</v>
      </c>
      <c r="C26" s="17" t="s">
        <v>51</v>
      </c>
      <c r="D26" s="7" t="n">
        <v>15</v>
      </c>
      <c r="E26" s="7" t="n">
        <v>34</v>
      </c>
      <c r="F26" s="7"/>
      <c r="G26" s="18" t="n">
        <v>7.5</v>
      </c>
      <c r="H26" s="19" t="n">
        <v>7.5</v>
      </c>
      <c r="I26" s="38" t="str">
        <f aca="false">IF(AND(D26&lt;&gt;"",E26&lt;&gt;""),IF(E26/D26&lt;1.7,"Endurance",IF(E26/D26&gt;1.9,"Speed","Hybrid")),IF(AND(F26&lt;&gt;"",E26&lt;&gt;""),IF(E26/(F26/1.25)&lt;1.7,"Endurance*",IF(E26/(F26/1.25)&gt;1.9,"Speed*","Hybrid*")),""))</f>
        <v>Speed</v>
      </c>
      <c r="J26" s="21" t="n">
        <f aca="false">IF(F26&lt;&gt;"",IF($E$11="km/h",F26/3.6,F26)*$E$7,IF(AND(D26&lt;&gt;"",E26&lt;&gt;""),IF($E$11="km/h",D26/3.6,D26)+$E$6*(IF($E$11="km/h",E26/3.6,E26)-IF($E$11="km/h",D26/3.6,D26)),""))</f>
        <v>5.48611111111111</v>
      </c>
      <c r="K26" s="22" t="n">
        <f aca="false">IF(J26="","",J26*$E$5)</f>
        <v>82.2916666666667</v>
      </c>
      <c r="L26" s="22" t="str">
        <f aca="false">IF(K26="","",MROUND(K26,$E$12)-INT($E$12/2)&amp;"-"&amp;MROUND(K26,$E$12)+INT($E$12/2))</f>
        <v>78-82</v>
      </c>
      <c r="M26" s="23" t="n">
        <f aca="false">IF(J26="","",IF(OR(K26&lt;=$E$8,AG26&lt;$E$8),K26,IF(AND(ROUND(AG26,4)=ROUND(AC26,4),ROUND(AE26,4)&lt;&gt;ROUND(AC26,4)),J26*($E$5-MIN(AF26,AD26)*Y26),IF(AND(AJ26&gt;0.5,AJ26&lt;AL26),J26*($E$5-(AI26-1)*Y26),AG26))))</f>
        <v>66.2397119341564</v>
      </c>
      <c r="N26" s="24" t="str">
        <f aca="false">IF(M26="","",MROUND(M26,$E$12)-INT($E$12/2)&amp;"-"&amp;MROUND(M26,$E$12)+INT($E$12/2))</f>
        <v>63-67</v>
      </c>
      <c r="O26" s="24" t="n">
        <f aca="false">IF(J26="","",P26+1)</f>
        <v>5</v>
      </c>
      <c r="P26" s="25" t="n">
        <f aca="false">IF(J26="","",IF(OR(K26&lt;=$E$8,AG26&lt;$E$8),0,IF(AND(ROUND(AG26,4)=ROUND(AC26,4),ROUND(AE26,4)&lt;&gt;ROUND(AC26,4)),MIN(AF26,AD26),IF(AND(AJ26&gt;0.5,AJ26&lt;AL26),AI26-1,AI26))))</f>
        <v>4</v>
      </c>
      <c r="Q26" s="22" t="n">
        <f aca="false">IF(J26="","",M26-P26*$E$8)</f>
        <v>2.23971193415639</v>
      </c>
      <c r="R26" s="26" t="str">
        <f aca="false">IF(J26="","",IF(P26=0,"Shuttle longer than required distance, no COD needed",IF(J26*Y26&gt;=$E$8,"d_turn≥L",IF(AND(ROUND(AG26,4)=ROUND(AC26,4),ROUND(AE26,4)&lt;&gt;ROUND(AC26,4)),"Terminal rule applied",IF(AND(AJ26&gt;0.5,AJ26&lt;AL26),"Terminal rule applied",IF(Q26&gt;$E$8,"Terminal rule applied",IF(J26*Y26&gt;=0.8*$E$8,"d_turn≈80%L","")))))))</f>
        <v/>
      </c>
      <c r="S26" s="24" t="str">
        <f aca="false">IF(Q26="","",MAX(0,MROUND(Q26,$E$12)-INT($E$12/2))&amp;"-"&amp;MROUND(Q26,$E$12)+INT($E$12/2))</f>
        <v>0-2</v>
      </c>
      <c r="T26" s="23" t="n">
        <f aca="false">IF(OR(M26="",O26="",O26=0),"",ROUND(M26/O26,1))</f>
        <v>13.2</v>
      </c>
      <c r="U26" s="24" t="str">
        <f aca="false">IF(T26="","",ROUND(T26,0)&amp;"-"&amp;ROUND(T26,0)+3)</f>
        <v>13-16</v>
      </c>
      <c r="V26" s="27" t="n">
        <f aca="false">IF(OR(K26="",K26=0),"",(K26-M26)/K26)</f>
        <v>0.195061728395062</v>
      </c>
      <c r="W26" s="1" t="n">
        <f aca="false">IF(J26="","",H26*$E$9)</f>
        <v>7.5</v>
      </c>
      <c r="X26" s="1" t="n">
        <f aca="false">IF(J26="","",G26*$E$10)</f>
        <v>7.5</v>
      </c>
      <c r="Y26" s="1" t="n">
        <f aca="false">IF(J26="","",J26/(2*W26)+J26/(2*X26))</f>
        <v>0.731481481481482</v>
      </c>
      <c r="Z26" s="1" t="n">
        <f aca="false">IF(J26="","",MAX(0,INT(K26/$E$8)-1)+IF((K26-INT(K26/$E$8)*$E$8)&gt;0.5,1,0))</f>
        <v>5</v>
      </c>
      <c r="AA26" s="1" t="n">
        <f aca="false">IF(J26="","",J26*($E$5-Z26*Y26))</f>
        <v>62.2267232510288</v>
      </c>
      <c r="AB26" s="1" t="n">
        <f aca="false">IF(J26="","",MAX(0,INT(AA26/$E$8)-1)+IF((AA26-INT(AA26/$E$8)*$E$8)&gt;0.5,1,0))</f>
        <v>3</v>
      </c>
      <c r="AC26" s="1" t="n">
        <f aca="false">IF(J26="","",J26*($E$5-AB26*Y26))</f>
        <v>70.252700617284</v>
      </c>
      <c r="AD26" s="1" t="n">
        <f aca="false">IF(J26="","",MAX(0,INT(AC26/$E$8)-1)+IF((AC26-INT(AC26/$E$8)*$E$8)&gt;0.5,1,0))</f>
        <v>4</v>
      </c>
      <c r="AE26" s="1" t="n">
        <f aca="false">IF(J26="","",J26*($E$5-AD26*Y26))</f>
        <v>66.2397119341564</v>
      </c>
      <c r="AF26" s="1" t="n">
        <f aca="false">IF(J26="","",MAX(0,INT(AE26/$E$8)-1)+IF((AE26-INT(AE26/$E$8)*$E$8)&gt;0.5,1,0))</f>
        <v>4</v>
      </c>
      <c r="AG26" s="1" t="n">
        <f aca="false">IF(J26="","",J26*($E$5-AF26*Y26))</f>
        <v>66.2397119341564</v>
      </c>
      <c r="AH26" s="1" t="n">
        <f aca="false">IF(J26="","",INT(AG26/$E$8))</f>
        <v>4</v>
      </c>
      <c r="AI26" s="1" t="n">
        <f aca="false">IF(J26="","",MAX(0,AH26-1)+IF((AG26-AH26*$E$8)&gt;0.5,1,0))</f>
        <v>4</v>
      </c>
      <c r="AJ26" s="1" t="n">
        <f aca="false">IF(J26="","",AG26-AH26*$E$8)</f>
        <v>2.23971193415639</v>
      </c>
      <c r="AK26" s="1" t="n">
        <f aca="false">IF(J26="","",J26*Y26)</f>
        <v>4.01298868312757</v>
      </c>
      <c r="AL26" s="1" t="n">
        <f aca="false">IF(J26="","",J26^2/(2*X26))</f>
        <v>2.00649434156379</v>
      </c>
    </row>
    <row r="27" customFormat="false" ht="15" hidden="false" customHeight="true" outlineLevel="0" collapsed="false">
      <c r="B27" s="28" t="n">
        <v>12</v>
      </c>
      <c r="C27" s="17"/>
      <c r="D27" s="7"/>
      <c r="E27" s="7"/>
      <c r="F27" s="7"/>
      <c r="G27" s="18" t="n">
        <v>7.5</v>
      </c>
      <c r="H27" s="19" t="n">
        <v>7.5</v>
      </c>
      <c r="I27" s="37" t="str">
        <f aca="false">IF(AND(D27&lt;&gt;"",E27&lt;&gt;""),IF(E27/D27&lt;1.7,"Endurance",IF(E27/D27&gt;1.9,"Speed","Hybrid")),IF(AND(F27&lt;&gt;"",E27&lt;&gt;""),IF(E27/(F27/1.25)&lt;1.7,"Endurance*",IF(E27/(F27/1.25)&gt;1.9,"Speed*","Hybrid*")),""))</f>
        <v/>
      </c>
      <c r="J27" s="30" t="str">
        <f aca="false">IF(F27&lt;&gt;"",IF($E$11="km/h",F27/3.6,F27)*$E$7,IF(AND(D27&lt;&gt;"",E27&lt;&gt;""),IF($E$11="km/h",D27/3.6,D27)+$E$6*(IF($E$11="km/h",E27/3.6,E27)-IF($E$11="km/h",D27/3.6,D27)),""))</f>
        <v/>
      </c>
      <c r="K27" s="31" t="str">
        <f aca="false">IF(J27="","",J27*$E$5)</f>
        <v/>
      </c>
      <c r="L27" s="31" t="str">
        <f aca="false">IF(K27="","",MROUND(K27,$E$12)-INT($E$12/2)&amp;"-"&amp;MROUND(K27,$E$12)+INT($E$12/2))</f>
        <v/>
      </c>
      <c r="M27" s="23" t="str">
        <f aca="false">IF(J27="","",IF(OR(K27&lt;=$E$8,AG27&lt;$E$8),K27,IF(AND(ROUND(AG27,4)=ROUND(AC27,4),ROUND(AE27,4)&lt;&gt;ROUND(AC27,4)),J27*($E$5-MIN(AF27,AD27)*Y27),IF(AND(AJ27&gt;0.5,AJ27&lt;AL27),J27*($E$5-(AI27-1)*Y27),AG27))))</f>
        <v/>
      </c>
      <c r="N27" s="32" t="str">
        <f aca="false">IF(M27="","",MROUND(M27,$E$12)-INT($E$12/2)&amp;"-"&amp;MROUND(M27,$E$12)+INT($E$12/2))</f>
        <v/>
      </c>
      <c r="O27" s="32" t="str">
        <f aca="false">IF(J27="","",P27+1)</f>
        <v/>
      </c>
      <c r="P27" s="33" t="str">
        <f aca="false">IF(J27="","",IF(OR(K27&lt;=$E$8,AG27&lt;$E$8),0,IF(AND(ROUND(AG27,4)=ROUND(AC27,4),ROUND(AE27,4)&lt;&gt;ROUND(AC27,4)),MIN(AF27,AD27),IF(AND(AJ27&gt;0.5,AJ27&lt;AL27),AI27-1,AI27))))</f>
        <v/>
      </c>
      <c r="Q27" s="31" t="str">
        <f aca="false">IF(J27="","",M27-P27*$E$8)</f>
        <v/>
      </c>
      <c r="R27" s="26" t="str">
        <f aca="false">IF(J27="","",IF(P27=0,"Shuttle longer than required distance, no COD needed",IF(J27*Y27&gt;=$E$8,"d_turn≥L",IF(AND(ROUND(AG27,4)=ROUND(AC27,4),ROUND(AE27,4)&lt;&gt;ROUND(AC27,4)),"Terminal rule applied",IF(AND(AJ27&gt;0.5,AJ27&lt;AL27),"Terminal rule applied",IF(Q27&gt;$E$8,"Terminal rule applied",IF(J27*Y27&gt;=0.8*$E$8,"d_turn≈80%L","")))))))</f>
        <v/>
      </c>
      <c r="S27" s="32" t="str">
        <f aca="false">IF(Q27="","",MAX(0,MROUND(Q27,$E$12)-INT($E$12/2))&amp;"-"&amp;MROUND(Q27,$E$12)+INT($E$12/2))</f>
        <v/>
      </c>
      <c r="T27" s="23" t="str">
        <f aca="false">IF(OR(M27="",O27="",O27=0),"",ROUND(M27/O27,1))</f>
        <v/>
      </c>
      <c r="U27" s="32" t="str">
        <f aca="false">IF(T27="","",ROUND(T27,0)&amp;"-"&amp;ROUND(T27,0)+3)</f>
        <v/>
      </c>
      <c r="V27" s="34" t="str">
        <f aca="false">IF(OR(K27="",K27=0),"",(K27-M27)/K27)</f>
        <v/>
      </c>
      <c r="W27" s="1" t="str">
        <f aca="false">IF(J27="","",H27*$E$9)</f>
        <v/>
      </c>
      <c r="X27" s="1" t="str">
        <f aca="false">IF(J27="","",G27*$E$10)</f>
        <v/>
      </c>
      <c r="Y27" s="1" t="str">
        <f aca="false">IF(J27="","",J27/(2*W27)+J27/(2*X27))</f>
        <v/>
      </c>
      <c r="Z27" s="1" t="str">
        <f aca="false">IF(J27="","",MAX(0,INT(K27/$E$8)-1)+IF((K27-INT(K27/$E$8)*$E$8)&gt;0.5,1,0))</f>
        <v/>
      </c>
      <c r="AA27" s="1" t="str">
        <f aca="false">IF(J27="","",J27*($E$5-Z27*Y27))</f>
        <v/>
      </c>
      <c r="AB27" s="1" t="str">
        <f aca="false">IF(J27="","",MAX(0,INT(AA27/$E$8)-1)+IF((AA27-INT(AA27/$E$8)*$E$8)&gt;0.5,1,0))</f>
        <v/>
      </c>
      <c r="AC27" s="1" t="str">
        <f aca="false">IF(J27="","",J27*($E$5-AB27*Y27))</f>
        <v/>
      </c>
      <c r="AD27" s="1" t="str">
        <f aca="false">IF(J27="","",MAX(0,INT(AC27/$E$8)-1)+IF((AC27-INT(AC27/$E$8)*$E$8)&gt;0.5,1,0))</f>
        <v/>
      </c>
      <c r="AE27" s="1" t="str">
        <f aca="false">IF(J27="","",J27*($E$5-AD27*Y27))</f>
        <v/>
      </c>
      <c r="AF27" s="1" t="str">
        <f aca="false">IF(J27="","",MAX(0,INT(AE27/$E$8)-1)+IF((AE27-INT(AE27/$E$8)*$E$8)&gt;0.5,1,0))</f>
        <v/>
      </c>
      <c r="AG27" s="1" t="str">
        <f aca="false">IF(J27="","",J27*($E$5-AF27*Y27))</f>
        <v/>
      </c>
      <c r="AH27" s="1" t="str">
        <f aca="false">IF(J27="","",INT(AG27/$E$8))</f>
        <v/>
      </c>
      <c r="AI27" s="1" t="str">
        <f aca="false">IF(J27="","",MAX(0,AH27-1)+IF((AG27-AH27*$E$8)&gt;0.5,1,0))</f>
        <v/>
      </c>
      <c r="AJ27" s="1" t="str">
        <f aca="false">IF(J27="","",AG27-AH27*$E$8)</f>
        <v/>
      </c>
      <c r="AK27" s="1" t="str">
        <f aca="false">IF(J27="","",J27*Y27)</f>
        <v/>
      </c>
      <c r="AL27" s="1" t="str">
        <f aca="false">IF(J27="","",J27^2/(2*X27))</f>
        <v/>
      </c>
    </row>
    <row r="28" customFormat="false" ht="15" hidden="false" customHeight="true" outlineLevel="0" collapsed="false">
      <c r="B28" s="16" t="n">
        <v>13</v>
      </c>
      <c r="C28" s="17" t="s">
        <v>52</v>
      </c>
      <c r="D28" s="7"/>
      <c r="E28" s="7" t="n">
        <v>33</v>
      </c>
      <c r="F28" s="7" t="n">
        <v>18</v>
      </c>
      <c r="G28" s="18" t="n">
        <v>5</v>
      </c>
      <c r="H28" s="19" t="n">
        <v>6</v>
      </c>
      <c r="I28" s="36" t="str">
        <f aca="false">IF(AND(D28&lt;&gt;"",E28&lt;&gt;""),IF(E28/D28&lt;1.7,"Endurance",IF(E28/D28&gt;1.9,"Speed","Hybrid")),IF(AND(F28&lt;&gt;"",E28&lt;&gt;""),IF(E28/(F28/1.25)&lt;1.7,"Endurance*",IF(E28/(F28/1.25)&gt;1.9,"Speed*","Hybrid*")),""))</f>
        <v>Speed*</v>
      </c>
      <c r="J28" s="21" t="n">
        <f aca="false">IF(F28&lt;&gt;"",IF($E$11="km/h",F28/3.6,F28)*$E$7,IF(AND(D28&lt;&gt;"",E28&lt;&gt;""),IF($E$11="km/h",D28/3.6,D28)+$E$6*(IF($E$11="km/h",E28/3.6,E28)-IF($E$11="km/h",D28/3.6,D28)),""))</f>
        <v>4.75</v>
      </c>
      <c r="K28" s="22" t="n">
        <f aca="false">IF(J28="","",J28*$E$5)</f>
        <v>71.25</v>
      </c>
      <c r="L28" s="22" t="str">
        <f aca="false">IF(K28="","",MROUND(K28,$E$12)-INT($E$12/2)&amp;"-"&amp;MROUND(K28,$E$12)+INT($E$12/2))</f>
        <v>68-72</v>
      </c>
      <c r="M28" s="23" t="n">
        <f aca="false">IF(J28="","",IF(OR(K28&lt;=$E$8,AG28&lt;$E$8),K28,IF(AND(ROUND(AG28,4)=ROUND(AC28,4),ROUND(AE28,4)&lt;&gt;ROUND(AC28,4)),J28*($E$5-MIN(AF28,AD28)*Y28),IF(AND(AJ28&gt;0.5,AJ28&lt;AL28),J28*($E$5-(AI28-1)*Y28),AG28))))</f>
        <v>58.840625</v>
      </c>
      <c r="N28" s="24" t="str">
        <f aca="false">IF(M28="","",MROUND(M28,$E$12)-INT($E$12/2)&amp;"-"&amp;MROUND(M28,$E$12)+INT($E$12/2))</f>
        <v>58-62</v>
      </c>
      <c r="O28" s="24" t="n">
        <f aca="false">IF(J28="","",P28+1)</f>
        <v>4</v>
      </c>
      <c r="P28" s="25" t="n">
        <f aca="false">IF(J28="","",IF(OR(K28&lt;=$E$8,AG28&lt;$E$8),0,IF(AND(ROUND(AG28,4)=ROUND(AC28,4),ROUND(AE28,4)&lt;&gt;ROUND(AC28,4)),MIN(AF28,AD28),IF(AND(AJ28&gt;0.5,AJ28&lt;AL28),AI28-1,AI28))))</f>
        <v>3</v>
      </c>
      <c r="Q28" s="22" t="n">
        <f aca="false">IF(J28="","",M28-P28*$E$8)</f>
        <v>10.840625</v>
      </c>
      <c r="R28" s="26" t="str">
        <f aca="false">IF(J28="","",IF(P28=0,"Shuttle longer than required distance, no COD needed",IF(J28*Y28&gt;=$E$8,"d_turn≥L",IF(AND(ROUND(AG28,4)=ROUND(AC28,4),ROUND(AE28,4)&lt;&gt;ROUND(AC28,4)),"Terminal rule applied",IF(AND(AJ28&gt;0.5,AJ28&lt;AL28),"Terminal rule applied",IF(Q28&gt;$E$8,"Terminal rule applied",IF(J28*Y28&gt;=0.8*$E$8,"d_turn≈80%L","")))))))</f>
        <v/>
      </c>
      <c r="S28" s="24" t="str">
        <f aca="false">IF(Q28="","",MAX(0,MROUND(Q28,$E$12)-INT($E$12/2))&amp;"-"&amp;MROUND(Q28,$E$12)+INT($E$12/2))</f>
        <v>8-12</v>
      </c>
      <c r="T28" s="23" t="n">
        <f aca="false">IF(OR(M28="",O28="",O28=0),"",ROUND(M28/O28,1))</f>
        <v>14.7</v>
      </c>
      <c r="U28" s="24" t="str">
        <f aca="false">IF(T28="","",ROUND(T28,0)&amp;"-"&amp;ROUND(T28,0)+3)</f>
        <v>15-18</v>
      </c>
      <c r="V28" s="27" t="n">
        <f aca="false">IF(OR(K28="",K28=0),"",(K28-M28)/K28)</f>
        <v>0.174166666666667</v>
      </c>
      <c r="W28" s="1" t="n">
        <f aca="false">IF(J28="","",H28*$E$9)</f>
        <v>6</v>
      </c>
      <c r="X28" s="1" t="n">
        <f aca="false">IF(J28="","",G28*$E$10)</f>
        <v>5</v>
      </c>
      <c r="Y28" s="1" t="n">
        <f aca="false">IF(J28="","",J28/(2*W28)+J28/(2*X28))</f>
        <v>0.870833333333333</v>
      </c>
      <c r="Z28" s="1" t="n">
        <f aca="false">IF(J28="","",MAX(0,INT(K28/$E$8)-1)+IF((K28-INT(K28/$E$8)*$E$8)&gt;0.5,1,0))</f>
        <v>4</v>
      </c>
      <c r="AA28" s="1" t="n">
        <f aca="false">IF(J28="","",J28*($E$5-Z28*Y28))</f>
        <v>54.7041666666667</v>
      </c>
      <c r="AB28" s="1" t="n">
        <f aca="false">IF(J28="","",MAX(0,INT(AA28/$E$8)-1)+IF((AA28-INT(AA28/$E$8)*$E$8)&gt;0.5,1,0))</f>
        <v>3</v>
      </c>
      <c r="AC28" s="1" t="n">
        <f aca="false">IF(J28="","",J28*($E$5-AB28*Y28))</f>
        <v>58.840625</v>
      </c>
      <c r="AD28" s="1" t="n">
        <f aca="false">IF(J28="","",MAX(0,INT(AC28/$E$8)-1)+IF((AC28-INT(AC28/$E$8)*$E$8)&gt;0.5,1,0))</f>
        <v>3</v>
      </c>
      <c r="AE28" s="1" t="n">
        <f aca="false">IF(J28="","",J28*($E$5-AD28*Y28))</f>
        <v>58.840625</v>
      </c>
      <c r="AF28" s="1" t="n">
        <f aca="false">IF(J28="","",MAX(0,INT(AE28/$E$8)-1)+IF((AE28-INT(AE28/$E$8)*$E$8)&gt;0.5,1,0))</f>
        <v>3</v>
      </c>
      <c r="AG28" s="1" t="n">
        <f aca="false">IF(J28="","",J28*($E$5-AF28*Y28))</f>
        <v>58.840625</v>
      </c>
      <c r="AH28" s="1" t="n">
        <f aca="false">IF(J28="","",INT(AG28/$E$8))</f>
        <v>3</v>
      </c>
      <c r="AI28" s="1" t="n">
        <f aca="false">IF(J28="","",MAX(0,AH28-1)+IF((AG28-AH28*$E$8)&gt;0.5,1,0))</f>
        <v>3</v>
      </c>
      <c r="AJ28" s="1" t="n">
        <f aca="false">IF(J28="","",AG28-AH28*$E$8)</f>
        <v>10.840625</v>
      </c>
      <c r="AK28" s="1" t="n">
        <f aca="false">IF(J28="","",J28*Y28)</f>
        <v>4.13645833333333</v>
      </c>
      <c r="AL28" s="1" t="n">
        <f aca="false">IF(J28="","",J28^2/(2*X28))</f>
        <v>2.25625</v>
      </c>
    </row>
    <row r="29" customFormat="false" ht="15" hidden="false" customHeight="true" outlineLevel="0" collapsed="false">
      <c r="B29" s="28" t="n">
        <v>14</v>
      </c>
      <c r="C29" s="17" t="s">
        <v>53</v>
      </c>
      <c r="D29" s="7"/>
      <c r="E29" s="7" t="n">
        <v>33</v>
      </c>
      <c r="F29" s="7" t="n">
        <v>18.5</v>
      </c>
      <c r="G29" s="18" t="n">
        <v>7.5</v>
      </c>
      <c r="H29" s="19" t="n">
        <v>7.5</v>
      </c>
      <c r="I29" s="37" t="str">
        <f aca="false">IF(AND(D29&lt;&gt;"",E29&lt;&gt;""),IF(E29/D29&lt;1.7,"Endurance",IF(E29/D29&gt;1.9,"Speed","Hybrid")),IF(AND(F29&lt;&gt;"",E29&lt;&gt;""),IF(E29/(F29/1.25)&lt;1.7,"Endurance*",IF(E29/(F29/1.25)&gt;1.9,"Speed*","Hybrid*")),""))</f>
        <v>Speed*</v>
      </c>
      <c r="J29" s="30" t="n">
        <f aca="false">IF(F29&lt;&gt;"",IF($E$11="km/h",F29/3.6,F29)*$E$7,IF(AND(D29&lt;&gt;"",E29&lt;&gt;""),IF($E$11="km/h",D29/3.6,D29)+$E$6*(IF($E$11="km/h",E29/3.6,E29)-IF($E$11="km/h",D29/3.6,D29)),""))</f>
        <v>4.88194444444444</v>
      </c>
      <c r="K29" s="31" t="n">
        <f aca="false">IF(J29="","",J29*$E$5)</f>
        <v>73.2291666666667</v>
      </c>
      <c r="L29" s="31" t="str">
        <f aca="false">IF(K29="","",MROUND(K29,$E$12)-INT($E$12/2)&amp;"-"&amp;MROUND(K29,$E$12)+INT($E$12/2))</f>
        <v>73-77</v>
      </c>
      <c r="M29" s="23" t="n">
        <f aca="false">IF(J29="","",IF(OR(K29&lt;=$E$8,AG29&lt;$E$8),K29,IF(AND(ROUND(AG29,4)=ROUND(AC29,4),ROUND(AE29,4)&lt;&gt;ROUND(AC29,4)),J29*($E$5-MIN(AF29,AD29)*Y29),IF(AND(AJ29&gt;0.5,AJ29&lt;AL29),J29*($E$5-(AI29-1)*Y29),AG29))))</f>
        <v>63.6958140432099</v>
      </c>
      <c r="N29" s="32" t="str">
        <f aca="false">IF(M29="","",MROUND(M29,$E$12)-INT($E$12/2)&amp;"-"&amp;MROUND(M29,$E$12)+INT($E$12/2))</f>
        <v>63-67</v>
      </c>
      <c r="O29" s="32" t="n">
        <f aca="false">IF(J29="","",P29+1)</f>
        <v>4</v>
      </c>
      <c r="P29" s="33" t="n">
        <f aca="false">IF(J29="","",IF(OR(K29&lt;=$E$8,AG29&lt;$E$8),0,IF(AND(ROUND(AG29,4)=ROUND(AC29,4),ROUND(AE29,4)&lt;&gt;ROUND(AC29,4)),MIN(AF29,AD29),IF(AND(AJ29&gt;0.5,AJ29&lt;AL29),AI29-1,AI29))))</f>
        <v>3</v>
      </c>
      <c r="Q29" s="31" t="n">
        <f aca="false">IF(J29="","",M29-P29*$E$8)</f>
        <v>15.6958140432099</v>
      </c>
      <c r="R29" s="26" t="str">
        <f aca="false">IF(J29="","",IF(P29=0,"Shuttle longer than required distance, no COD needed",IF(J29*Y29&gt;=$E$8,"d_turn≥L",IF(AND(ROUND(AG29,4)=ROUND(AC29,4),ROUND(AE29,4)&lt;&gt;ROUND(AC29,4)),"Terminal rule applied",IF(AND(AJ29&gt;0.5,AJ29&lt;AL29),"Terminal rule applied",IF(Q29&gt;$E$8,"Terminal rule applied",IF(J29*Y29&gt;=0.8*$E$8,"d_turn≈80%L","")))))))</f>
        <v/>
      </c>
      <c r="S29" s="32" t="str">
        <f aca="false">IF(Q29="","",MAX(0,MROUND(Q29,$E$12)-INT($E$12/2))&amp;"-"&amp;MROUND(Q29,$E$12)+INT($E$12/2))</f>
        <v>13-17</v>
      </c>
      <c r="T29" s="23" t="n">
        <f aca="false">IF(OR(M29="",O29="",O29=0),"",ROUND(M29/O29,1))</f>
        <v>15.9</v>
      </c>
      <c r="U29" s="32" t="str">
        <f aca="false">IF(T29="","",ROUND(T29,0)&amp;"-"&amp;ROUND(T29,0)+3)</f>
        <v>16-19</v>
      </c>
      <c r="V29" s="34" t="n">
        <f aca="false">IF(OR(K29="",K29=0),"",(K29-M29)/K29)</f>
        <v>0.130185185185185</v>
      </c>
      <c r="W29" s="1" t="n">
        <f aca="false">IF(J29="","",H29*$E$9)</f>
        <v>7.5</v>
      </c>
      <c r="X29" s="1" t="n">
        <f aca="false">IF(J29="","",G29*$E$10)</f>
        <v>7.5</v>
      </c>
      <c r="Y29" s="1" t="n">
        <f aca="false">IF(J29="","",J29/(2*W29)+J29/(2*X29))</f>
        <v>0.650925925925926</v>
      </c>
      <c r="Z29" s="1" t="n">
        <f aca="false">IF(J29="","",MAX(0,INT(K29/$E$8)-1)+IF((K29-INT(K29/$E$8)*$E$8)&gt;0.5,1,0))</f>
        <v>4</v>
      </c>
      <c r="AA29" s="1" t="n">
        <f aca="false">IF(J29="","",J29*($E$5-Z29*Y29))</f>
        <v>60.5180298353909</v>
      </c>
      <c r="AB29" s="1" t="n">
        <f aca="false">IF(J29="","",MAX(0,INT(AA29/$E$8)-1)+IF((AA29-INT(AA29/$E$8)*$E$8)&gt;0.5,1,0))</f>
        <v>3</v>
      </c>
      <c r="AC29" s="1" t="n">
        <f aca="false">IF(J29="","",J29*($E$5-AB29*Y29))</f>
        <v>63.6958140432099</v>
      </c>
      <c r="AD29" s="1" t="n">
        <f aca="false">IF(J29="","",MAX(0,INT(AC29/$E$8)-1)+IF((AC29-INT(AC29/$E$8)*$E$8)&gt;0.5,1,0))</f>
        <v>3</v>
      </c>
      <c r="AE29" s="1" t="n">
        <f aca="false">IF(J29="","",J29*($E$5-AD29*Y29))</f>
        <v>63.6958140432099</v>
      </c>
      <c r="AF29" s="1" t="n">
        <f aca="false">IF(J29="","",MAX(0,INT(AE29/$E$8)-1)+IF((AE29-INT(AE29/$E$8)*$E$8)&gt;0.5,1,0))</f>
        <v>3</v>
      </c>
      <c r="AG29" s="1" t="n">
        <f aca="false">IF(J29="","",J29*($E$5-AF29*Y29))</f>
        <v>63.6958140432099</v>
      </c>
      <c r="AH29" s="1" t="n">
        <f aca="false">IF(J29="","",INT(AG29/$E$8))</f>
        <v>3</v>
      </c>
      <c r="AI29" s="1" t="n">
        <f aca="false">IF(J29="","",MAX(0,AH29-1)+IF((AG29-AH29*$E$8)&gt;0.5,1,0))</f>
        <v>3</v>
      </c>
      <c r="AJ29" s="1" t="n">
        <f aca="false">IF(J29="","",AG29-AH29*$E$8)</f>
        <v>15.6958140432099</v>
      </c>
      <c r="AK29" s="1" t="n">
        <f aca="false">IF(J29="","",J29*Y29)</f>
        <v>3.17778420781893</v>
      </c>
      <c r="AL29" s="1" t="n">
        <f aca="false">IF(J29="","",J29^2/(2*X29))</f>
        <v>1.58889210390946</v>
      </c>
    </row>
    <row r="30" customFormat="false" ht="15" hidden="false" customHeight="true" outlineLevel="0" collapsed="false">
      <c r="B30" s="16" t="n">
        <v>15</v>
      </c>
      <c r="C30" s="17" t="s">
        <v>54</v>
      </c>
      <c r="D30" s="7"/>
      <c r="E30" s="7" t="n">
        <v>32</v>
      </c>
      <c r="F30" s="7" t="n">
        <v>19</v>
      </c>
      <c r="G30" s="18" t="n">
        <v>5</v>
      </c>
      <c r="H30" s="19" t="n">
        <v>6</v>
      </c>
      <c r="I30" s="37" t="str">
        <f aca="false">IF(AND(D30&lt;&gt;"",E30&lt;&gt;""),IF(E30/D30&lt;1.7,"Endurance",IF(E30/D30&gt;1.9,"Speed","Hybrid")),IF(AND(F30&lt;&gt;"",E30&lt;&gt;""),IF(E30/(F30/1.25)&lt;1.7,"Endurance*",IF(E30/(F30/1.25)&gt;1.9,"Speed*","Hybrid*")),""))</f>
        <v>Speed*</v>
      </c>
      <c r="J30" s="21" t="n">
        <f aca="false">IF(F30&lt;&gt;"",IF($E$11="km/h",F30/3.6,F30)*$E$7,IF(AND(D30&lt;&gt;"",E30&lt;&gt;""),IF($E$11="km/h",D30/3.6,D30)+$E$6*(IF($E$11="km/h",E30/3.6,E30)-IF($E$11="km/h",D30/3.6,D30)),""))</f>
        <v>5.01388888888889</v>
      </c>
      <c r="K30" s="22" t="n">
        <f aca="false">IF(J30="","",J30*$E$5)</f>
        <v>75.2083333333333</v>
      </c>
      <c r="L30" s="22" t="str">
        <f aca="false">IF(K30="","",MROUND(K30,$E$12)-INT($E$12/2)&amp;"-"&amp;MROUND(K30,$E$12)+INT($E$12/2))</f>
        <v>73-77</v>
      </c>
      <c r="M30" s="23" t="n">
        <f aca="false">IF(J30="","",IF(OR(K30&lt;=$E$8,AG30&lt;$E$8),K30,IF(AND(ROUND(AG30,4)=ROUND(AC30,4),ROUND(AE30,4)&lt;&gt;ROUND(AC30,4)),J30*($E$5-MIN(AF30,AD30)*Y30),IF(AND(AJ30&gt;0.5,AJ30&lt;AL30),J30*($E$5-(AI30-1)*Y30),AG30))))</f>
        <v>61.3818383487654</v>
      </c>
      <c r="N30" s="24" t="str">
        <f aca="false">IF(M30="","",MROUND(M30,$E$12)-INT($E$12/2)&amp;"-"&amp;MROUND(M30,$E$12)+INT($E$12/2))</f>
        <v>58-62</v>
      </c>
      <c r="O30" s="24" t="n">
        <f aca="false">IF(J30="","",P30+1)</f>
        <v>4</v>
      </c>
      <c r="P30" s="25" t="n">
        <f aca="false">IF(J30="","",IF(OR(K30&lt;=$E$8,AG30&lt;$E$8),0,IF(AND(ROUND(AG30,4)=ROUND(AC30,4),ROUND(AE30,4)&lt;&gt;ROUND(AC30,4)),MIN(AF30,AD30),IF(AND(AJ30&gt;0.5,AJ30&lt;AL30),AI30-1,AI30))))</f>
        <v>3</v>
      </c>
      <c r="Q30" s="22" t="n">
        <f aca="false">IF(J30="","",M30-P30*$E$8)</f>
        <v>13.3818383487654</v>
      </c>
      <c r="R30" s="26" t="str">
        <f aca="false">IF(J30="","",IF(P30=0,"Shuttle longer than required distance, no COD needed",IF(J30*Y30&gt;=$E$8,"d_turn≥L",IF(AND(ROUND(AG30,4)=ROUND(AC30,4),ROUND(AE30,4)&lt;&gt;ROUND(AC30,4)),"Terminal rule applied",IF(AND(AJ30&gt;0.5,AJ30&lt;AL30),"Terminal rule applied",IF(Q30&gt;$E$8,"Terminal rule applied",IF(J30*Y30&gt;=0.8*$E$8,"d_turn≈80%L","")))))))</f>
        <v/>
      </c>
      <c r="S30" s="24" t="str">
        <f aca="false">IF(Q30="","",MAX(0,MROUND(Q30,$E$12)-INT($E$12/2))&amp;"-"&amp;MROUND(Q30,$E$12)+INT($E$12/2))</f>
        <v>13-17</v>
      </c>
      <c r="T30" s="23" t="n">
        <f aca="false">IF(OR(M30="",O30="",O30=0),"",ROUND(M30/O30,1))</f>
        <v>15.3</v>
      </c>
      <c r="U30" s="24" t="str">
        <f aca="false">IF(T30="","",ROUND(T30,0)&amp;"-"&amp;ROUND(T30,0)+3)</f>
        <v>15-18</v>
      </c>
      <c r="V30" s="27" t="n">
        <f aca="false">IF(OR(K30="",K30=0),"",(K30-M30)/K30)</f>
        <v>0.183842592592593</v>
      </c>
      <c r="W30" s="1" t="n">
        <f aca="false">IF(J30="","",H30*$E$9)</f>
        <v>6</v>
      </c>
      <c r="X30" s="1" t="n">
        <f aca="false">IF(J30="","",G30*$E$10)</f>
        <v>5</v>
      </c>
      <c r="Y30" s="1" t="n">
        <f aca="false">IF(J30="","",J30/(2*W30)+J30/(2*X30))</f>
        <v>0.919212962962963</v>
      </c>
      <c r="Z30" s="1" t="n">
        <f aca="false">IF(J30="","",MAX(0,INT(K30/$E$8)-1)+IF((K30-INT(K30/$E$8)*$E$8)&gt;0.5,1,0))</f>
        <v>4</v>
      </c>
      <c r="AA30" s="1" t="n">
        <f aca="false">IF(J30="","",J30*($E$5-Z30*Y30))</f>
        <v>56.7730066872428</v>
      </c>
      <c r="AB30" s="1" t="n">
        <f aca="false">IF(J30="","",MAX(0,INT(AA30/$E$8)-1)+IF((AA30-INT(AA30/$E$8)*$E$8)&gt;0.5,1,0))</f>
        <v>3</v>
      </c>
      <c r="AC30" s="1" t="n">
        <f aca="false">IF(J30="","",J30*($E$5-AB30*Y30))</f>
        <v>61.3818383487654</v>
      </c>
      <c r="AD30" s="1" t="n">
        <f aca="false">IF(J30="","",MAX(0,INT(AC30/$E$8)-1)+IF((AC30-INT(AC30/$E$8)*$E$8)&gt;0.5,1,0))</f>
        <v>3</v>
      </c>
      <c r="AE30" s="1" t="n">
        <f aca="false">IF(J30="","",J30*($E$5-AD30*Y30))</f>
        <v>61.3818383487654</v>
      </c>
      <c r="AF30" s="1" t="n">
        <f aca="false">IF(J30="","",MAX(0,INT(AE30/$E$8)-1)+IF((AE30-INT(AE30/$E$8)*$E$8)&gt;0.5,1,0))</f>
        <v>3</v>
      </c>
      <c r="AG30" s="1" t="n">
        <f aca="false">IF(J30="","",J30*($E$5-AF30*Y30))</f>
        <v>61.3818383487654</v>
      </c>
      <c r="AH30" s="1" t="n">
        <f aca="false">IF(J30="","",INT(AG30/$E$8))</f>
        <v>3</v>
      </c>
      <c r="AI30" s="1" t="n">
        <f aca="false">IF(J30="","",MAX(0,AH30-1)+IF((AG30-AH30*$E$8)&gt;0.5,1,0))</f>
        <v>3</v>
      </c>
      <c r="AJ30" s="1" t="n">
        <f aca="false">IF(J30="","",AG30-AH30*$E$8)</f>
        <v>13.3818383487654</v>
      </c>
      <c r="AK30" s="1" t="n">
        <f aca="false">IF(J30="","",J30*Y30)</f>
        <v>4.60883166152263</v>
      </c>
      <c r="AL30" s="1" t="n">
        <f aca="false">IF(J30="","",J30^2/(2*X30))</f>
        <v>2.51390817901235</v>
      </c>
    </row>
    <row r="31" customFormat="false" ht="15" hidden="false" customHeight="true" outlineLevel="0" collapsed="false">
      <c r="B31" s="28" t="n">
        <v>16</v>
      </c>
      <c r="C31" s="17" t="s">
        <v>55</v>
      </c>
      <c r="D31" s="7"/>
      <c r="E31" s="7" t="n">
        <v>30</v>
      </c>
      <c r="F31" s="7" t="n">
        <v>19.5</v>
      </c>
      <c r="G31" s="18" t="n">
        <v>5</v>
      </c>
      <c r="H31" s="19" t="n">
        <v>6</v>
      </c>
      <c r="I31" s="36" t="str">
        <f aca="false">IF(AND(D31&lt;&gt;"",E31&lt;&gt;""),IF(E31/D31&lt;1.7,"Endurance",IF(E31/D31&gt;1.9,"Speed","Hybrid")),IF(AND(F31&lt;&gt;"",E31&lt;&gt;""),IF(E31/(F31/1.25)&lt;1.7,"Endurance*",IF(E31/(F31/1.25)&gt;1.9,"Speed*","Hybrid*")),""))</f>
        <v>Speed*</v>
      </c>
      <c r="J31" s="30" t="n">
        <f aca="false">IF(F31&lt;&gt;"",IF($E$11="km/h",F31/3.6,F31)*$E$7,IF(AND(D31&lt;&gt;"",E31&lt;&gt;""),IF($E$11="km/h",D31/3.6,D31)+$E$6*(IF($E$11="km/h",E31/3.6,E31)-IF($E$11="km/h",D31/3.6,D31)),""))</f>
        <v>5.14583333333333</v>
      </c>
      <c r="K31" s="31" t="n">
        <f aca="false">IF(J31="","",J31*$E$5)</f>
        <v>77.1875</v>
      </c>
      <c r="L31" s="31" t="str">
        <f aca="false">IF(K31="","",MROUND(K31,$E$12)-INT($E$12/2)&amp;"-"&amp;MROUND(K31,$E$12)+INT($E$12/2))</f>
        <v>73-77</v>
      </c>
      <c r="M31" s="23" t="n">
        <f aca="false">IF(J31="","",IF(OR(K31&lt;=$E$8,AG31&lt;$E$8),K31,IF(AND(ROUND(AG31,4)=ROUND(AC31,4),ROUND(AE31,4)&lt;&gt;ROUND(AC31,4)),J31*($E$5-MIN(AF31,AD31)*Y31),IF(AND(AJ31&gt;0.5,AJ31&lt;AL31),J31*($E$5-(AI31-1)*Y31),AG31))))</f>
        <v>62.6237196180556</v>
      </c>
      <c r="N31" s="32" t="str">
        <f aca="false">IF(M31="","",MROUND(M31,$E$12)-INT($E$12/2)&amp;"-"&amp;MROUND(M31,$E$12)+INT($E$12/2))</f>
        <v>63-67</v>
      </c>
      <c r="O31" s="32" t="n">
        <f aca="false">IF(J31="","",P31+1)</f>
        <v>4</v>
      </c>
      <c r="P31" s="33" t="n">
        <f aca="false">IF(J31="","",IF(OR(K31&lt;=$E$8,AG31&lt;$E$8),0,IF(AND(ROUND(AG31,4)=ROUND(AC31,4),ROUND(AE31,4)&lt;&gt;ROUND(AC31,4)),MIN(AF31,AD31),IF(AND(AJ31&gt;0.5,AJ31&lt;AL31),AI31-1,AI31))))</f>
        <v>3</v>
      </c>
      <c r="Q31" s="31" t="n">
        <f aca="false">IF(J31="","",M31-P31*$E$8)</f>
        <v>14.6237196180556</v>
      </c>
      <c r="R31" s="26" t="str">
        <f aca="false">IF(J31="","",IF(P31=0,"Shuttle longer than required distance, no COD needed",IF(J31*Y31&gt;=$E$8,"d_turn≥L",IF(AND(ROUND(AG31,4)=ROUND(AC31,4),ROUND(AE31,4)&lt;&gt;ROUND(AC31,4)),"Terminal rule applied",IF(AND(AJ31&gt;0.5,AJ31&lt;AL31),"Terminal rule applied",IF(Q31&gt;$E$8,"Terminal rule applied",IF(J31*Y31&gt;=0.8*$E$8,"d_turn≈80%L","")))))))</f>
        <v/>
      </c>
      <c r="S31" s="32" t="str">
        <f aca="false">IF(Q31="","",MAX(0,MROUND(Q31,$E$12)-INT($E$12/2))&amp;"-"&amp;MROUND(Q31,$E$12)+INT($E$12/2))</f>
        <v>13-17</v>
      </c>
      <c r="T31" s="23" t="n">
        <f aca="false">IF(OR(M31="",O31="",O31=0),"",ROUND(M31/O31,1))</f>
        <v>15.7</v>
      </c>
      <c r="U31" s="32" t="str">
        <f aca="false">IF(T31="","",ROUND(T31,0)&amp;"-"&amp;ROUND(T31,0)+3)</f>
        <v>16-19</v>
      </c>
      <c r="V31" s="34" t="n">
        <f aca="false">IF(OR(K31="",K31=0),"",(K31-M31)/K31)</f>
        <v>0.188680555555556</v>
      </c>
      <c r="W31" s="1" t="n">
        <f aca="false">IF(J31="","",H31*$E$9)</f>
        <v>6</v>
      </c>
      <c r="X31" s="1" t="n">
        <f aca="false">IF(J31="","",G31*$E$10)</f>
        <v>5</v>
      </c>
      <c r="Y31" s="1" t="n">
        <f aca="false">IF(J31="","",J31/(2*W31)+J31/(2*X31))</f>
        <v>0.943402777777778</v>
      </c>
      <c r="Z31" s="1" t="n">
        <f aca="false">IF(J31="","",MAX(0,INT(K31/$E$8)-1)+IF((K31-INT(K31/$E$8)*$E$8)&gt;0.5,1,0))</f>
        <v>4</v>
      </c>
      <c r="AA31" s="1" t="n">
        <f aca="false">IF(J31="","",J31*($E$5-Z31*Y31))</f>
        <v>57.7691261574074</v>
      </c>
      <c r="AB31" s="1" t="n">
        <f aca="false">IF(J31="","",MAX(0,INT(AA31/$E$8)-1)+IF((AA31-INT(AA31/$E$8)*$E$8)&gt;0.5,1,0))</f>
        <v>3</v>
      </c>
      <c r="AC31" s="1" t="n">
        <f aca="false">IF(J31="","",J31*($E$5-AB31*Y31))</f>
        <v>62.6237196180556</v>
      </c>
      <c r="AD31" s="1" t="n">
        <f aca="false">IF(J31="","",MAX(0,INT(AC31/$E$8)-1)+IF((AC31-INT(AC31/$E$8)*$E$8)&gt;0.5,1,0))</f>
        <v>3</v>
      </c>
      <c r="AE31" s="1" t="n">
        <f aca="false">IF(J31="","",J31*($E$5-AD31*Y31))</f>
        <v>62.6237196180556</v>
      </c>
      <c r="AF31" s="1" t="n">
        <f aca="false">IF(J31="","",MAX(0,INT(AE31/$E$8)-1)+IF((AE31-INT(AE31/$E$8)*$E$8)&gt;0.5,1,0))</f>
        <v>3</v>
      </c>
      <c r="AG31" s="1" t="n">
        <f aca="false">IF(J31="","",J31*($E$5-AF31*Y31))</f>
        <v>62.6237196180556</v>
      </c>
      <c r="AH31" s="1" t="n">
        <f aca="false">IF(J31="","",INT(AG31/$E$8))</f>
        <v>3</v>
      </c>
      <c r="AI31" s="1" t="n">
        <f aca="false">IF(J31="","",MAX(0,AH31-1)+IF((AG31-AH31*$E$8)&gt;0.5,1,0))</f>
        <v>3</v>
      </c>
      <c r="AJ31" s="1" t="n">
        <f aca="false">IF(J31="","",AG31-AH31*$E$8)</f>
        <v>14.6237196180556</v>
      </c>
      <c r="AK31" s="1" t="n">
        <f aca="false">IF(J31="","",J31*Y31)</f>
        <v>4.85459346064815</v>
      </c>
      <c r="AL31" s="1" t="n">
        <f aca="false">IF(J31="","",J31^2/(2*X31))</f>
        <v>2.64796006944444</v>
      </c>
    </row>
    <row r="32" customFormat="false" ht="15" hidden="false" customHeight="true" outlineLevel="0" collapsed="false">
      <c r="B32" s="16" t="n">
        <v>17</v>
      </c>
      <c r="C32" s="17" t="s">
        <v>56</v>
      </c>
      <c r="D32" s="7"/>
      <c r="E32" s="7" t="n">
        <v>30</v>
      </c>
      <c r="F32" s="7" t="n">
        <v>20</v>
      </c>
      <c r="G32" s="18" t="n">
        <v>7.5</v>
      </c>
      <c r="H32" s="19" t="n">
        <v>7.5</v>
      </c>
      <c r="I32" s="37" t="str">
        <f aca="false">IF(AND(D32&lt;&gt;"",E32&lt;&gt;""),IF(E32/D32&lt;1.7,"Endurance",IF(E32/D32&gt;1.9,"Speed","Hybrid")),IF(AND(F32&lt;&gt;"",E32&lt;&gt;""),IF(E32/(F32/1.25)&lt;1.7,"Endurance*",IF(E32/(F32/1.25)&gt;1.9,"Speed*","Hybrid*")),""))</f>
        <v>Hybrid*</v>
      </c>
      <c r="J32" s="21" t="n">
        <f aca="false">IF(F32&lt;&gt;"",IF($E$11="km/h",F32/3.6,F32)*$E$7,IF(AND(D32&lt;&gt;"",E32&lt;&gt;""),IF($E$11="km/h",D32/3.6,D32)+$E$6*(IF($E$11="km/h",E32/3.6,E32)-IF($E$11="km/h",D32/3.6,D32)),""))</f>
        <v>5.27777777777778</v>
      </c>
      <c r="K32" s="22" t="n">
        <f aca="false">IF(J32="","",J32*$E$5)</f>
        <v>79.1666666666667</v>
      </c>
      <c r="L32" s="22" t="str">
        <f aca="false">IF(K32="","",MROUND(K32,$E$12)-INT($E$12/2)&amp;"-"&amp;MROUND(K32,$E$12)+INT($E$12/2))</f>
        <v>78-82</v>
      </c>
      <c r="M32" s="23" t="n">
        <f aca="false">IF(J32="","",IF(OR(K32&lt;=$E$8,AG32&lt;$E$8),K32,IF(AND(ROUND(AG32,4)=ROUND(AC32,4),ROUND(AE32,4)&lt;&gt;ROUND(AC32,4)),J32*($E$5-MIN(AF32,AD32)*Y32),IF(AND(AJ32&gt;0.5,AJ32&lt;AL32),J32*($E$5-(AI32-1)*Y32),AG32))))</f>
        <v>68.0246913580247</v>
      </c>
      <c r="N32" s="24" t="str">
        <f aca="false">IF(M32="","",MROUND(M32,$E$12)-INT($E$12/2)&amp;"-"&amp;MROUND(M32,$E$12)+INT($E$12/2))</f>
        <v>68-72</v>
      </c>
      <c r="O32" s="24" t="n">
        <f aca="false">IF(J32="","",P32+1)</f>
        <v>4</v>
      </c>
      <c r="P32" s="25" t="n">
        <f aca="false">IF(J32="","",IF(OR(K32&lt;=$E$8,AG32&lt;$E$8),0,IF(AND(ROUND(AG32,4)=ROUND(AC32,4),ROUND(AE32,4)&lt;&gt;ROUND(AC32,4)),MIN(AF32,AD32),IF(AND(AJ32&gt;0.5,AJ32&lt;AL32),AI32-1,AI32))))</f>
        <v>3</v>
      </c>
      <c r="Q32" s="22" t="n">
        <f aca="false">IF(J32="","",M32-P32*$E$8)</f>
        <v>20.0246913580247</v>
      </c>
      <c r="R32" s="26" t="str">
        <f aca="false">IF(J32="","",IF(P32=0,"Shuttle longer than required distance, no COD needed",IF(J32*Y32&gt;=$E$8,"d_turn≥L",IF(AND(ROUND(AG32,4)=ROUND(AC32,4),ROUND(AE32,4)&lt;&gt;ROUND(AC32,4)),"Terminal rule applied",IF(AND(AJ32&gt;0.5,AJ32&lt;AL32),"Terminal rule applied",IF(Q32&gt;$E$8,"Terminal rule applied",IF(J32*Y32&gt;=0.8*$E$8,"d_turn≈80%L","")))))))</f>
        <v>Terminal rule applied</v>
      </c>
      <c r="S32" s="24" t="str">
        <f aca="false">IF(Q32="","",MAX(0,MROUND(Q32,$E$12)-INT($E$12/2))&amp;"-"&amp;MROUND(Q32,$E$12)+INT($E$12/2))</f>
        <v>18-22</v>
      </c>
      <c r="T32" s="23" t="n">
        <f aca="false">IF(OR(M32="",O32="",O32=0),"",ROUND(M32/O32,1))</f>
        <v>17</v>
      </c>
      <c r="U32" s="24" t="str">
        <f aca="false">IF(T32="","",ROUND(T32,0)&amp;"-"&amp;ROUND(T32,0)+3)</f>
        <v>17-20</v>
      </c>
      <c r="V32" s="27" t="n">
        <f aca="false">IF(OR(K32="",K32=0),"",(K32-M32)/K32)</f>
        <v>0.140740740740741</v>
      </c>
      <c r="W32" s="1" t="n">
        <f aca="false">IF(J32="","",H32*$E$9)</f>
        <v>7.5</v>
      </c>
      <c r="X32" s="1" t="n">
        <f aca="false">IF(J32="","",G32*$E$10)</f>
        <v>7.5</v>
      </c>
      <c r="Y32" s="1" t="n">
        <f aca="false">IF(J32="","",J32/(2*W32)+J32/(2*X32))</f>
        <v>0.703703703703704</v>
      </c>
      <c r="Z32" s="1" t="n">
        <f aca="false">IF(J32="","",MAX(0,INT(K32/$E$8)-1)+IF((K32-INT(K32/$E$8)*$E$8)&gt;0.5,1,0))</f>
        <v>4</v>
      </c>
      <c r="AA32" s="1" t="n">
        <f aca="false">IF(J32="","",J32*($E$5-Z32*Y32))</f>
        <v>64.3106995884774</v>
      </c>
      <c r="AB32" s="1" t="n">
        <f aca="false">IF(J32="","",MAX(0,INT(AA32/$E$8)-1)+IF((AA32-INT(AA32/$E$8)*$E$8)&gt;0.5,1,0))</f>
        <v>3</v>
      </c>
      <c r="AC32" s="1" t="n">
        <f aca="false">IF(J32="","",J32*($E$5-AB32*Y32))</f>
        <v>68.0246913580247</v>
      </c>
      <c r="AD32" s="1" t="n">
        <f aca="false">IF(J32="","",MAX(0,INT(AC32/$E$8)-1)+IF((AC32-INT(AC32/$E$8)*$E$8)&gt;0.5,1,0))</f>
        <v>4</v>
      </c>
      <c r="AE32" s="1" t="n">
        <f aca="false">IF(J32="","",J32*($E$5-AD32*Y32))</f>
        <v>64.3106995884774</v>
      </c>
      <c r="AF32" s="1" t="n">
        <f aca="false">IF(J32="","",MAX(0,INT(AE32/$E$8)-1)+IF((AE32-INT(AE32/$E$8)*$E$8)&gt;0.5,1,0))</f>
        <v>3</v>
      </c>
      <c r="AG32" s="1" t="n">
        <f aca="false">IF(J32="","",J32*($E$5-AF32*Y32))</f>
        <v>68.0246913580247</v>
      </c>
      <c r="AH32" s="1" t="n">
        <f aca="false">IF(J32="","",INT(AG32/$E$8))</f>
        <v>4</v>
      </c>
      <c r="AI32" s="1" t="n">
        <f aca="false">IF(J32="","",MAX(0,AH32-1)+IF((AG32-AH32*$E$8)&gt;0.5,1,0))</f>
        <v>4</v>
      </c>
      <c r="AJ32" s="1" t="n">
        <f aca="false">IF(J32="","",AG32-AH32*$E$8)</f>
        <v>4.0246913580247</v>
      </c>
      <c r="AK32" s="1" t="n">
        <f aca="false">IF(J32="","",J32*Y32)</f>
        <v>3.71399176954733</v>
      </c>
      <c r="AL32" s="1" t="n">
        <f aca="false">IF(J32="","",J32^2/(2*X32))</f>
        <v>1.85699588477366</v>
      </c>
    </row>
    <row r="33" customFormat="false" ht="15" hidden="false" customHeight="true" outlineLevel="0" collapsed="false">
      <c r="B33" s="28" t="n">
        <v>18</v>
      </c>
      <c r="C33" s="17" t="s">
        <v>57</v>
      </c>
      <c r="D33" s="7"/>
      <c r="E33" s="7" t="n">
        <v>33</v>
      </c>
      <c r="F33" s="7" t="n">
        <v>20.5</v>
      </c>
      <c r="G33" s="18" t="n">
        <v>7.5</v>
      </c>
      <c r="H33" s="19" t="n">
        <v>7.5</v>
      </c>
      <c r="I33" s="39" t="str">
        <f aca="false">IF(AND(D33&lt;&gt;"",E33&lt;&gt;""),IF(E33/D33&lt;1.7,"Endurance",IF(E33/D33&gt;1.9,"Speed","Hybrid")),IF(AND(F33&lt;&gt;"",E33&lt;&gt;""),IF(E33/(F33/1.25)&lt;1.7,"Endurance*",IF(E33/(F33/1.25)&gt;1.9,"Speed*","Hybrid*")),""))</f>
        <v>Speed*</v>
      </c>
      <c r="J33" s="30" t="n">
        <f aca="false">IF(F33&lt;&gt;"",IF($E$11="km/h",F33/3.6,F33)*$E$7,IF(AND(D33&lt;&gt;"",E33&lt;&gt;""),IF($E$11="km/h",D33/3.6,D33)+$E$6*(IF($E$11="km/h",E33/3.6,E33)-IF($E$11="km/h",D33/3.6,D33)),""))</f>
        <v>5.40972222222222</v>
      </c>
      <c r="K33" s="31" t="n">
        <f aca="false">IF(J33="","",J33*$E$5)</f>
        <v>81.1458333333333</v>
      </c>
      <c r="L33" s="31" t="str">
        <f aca="false">IF(K33="","",MROUND(K33,$E$12)-INT($E$12/2)&amp;"-"&amp;MROUND(K33,$E$12)+INT($E$12/2))</f>
        <v>78-82</v>
      </c>
      <c r="M33" s="23" t="n">
        <f aca="false">IF(J33="","",IF(OR(K33&lt;=$E$8,AG33&lt;$E$8),K33,IF(AND(ROUND(AG33,4)=ROUND(AC33,4),ROUND(AE33,4)&lt;&gt;ROUND(AC33,4)),J33*($E$5-MIN(AF33,AD33)*Y33),IF(AND(AJ33&gt;0.5,AJ33&lt;AL33),J33*($E$5-(AI33-1)*Y33),AG33))))</f>
        <v>69.4397955246914</v>
      </c>
      <c r="N33" s="32" t="str">
        <f aca="false">IF(M33="","",MROUND(M33,$E$12)-INT($E$12/2)&amp;"-"&amp;MROUND(M33,$E$12)+INT($E$12/2))</f>
        <v>68-72</v>
      </c>
      <c r="O33" s="32" t="n">
        <f aca="false">IF(J33="","",P33+1)</f>
        <v>4</v>
      </c>
      <c r="P33" s="33" t="n">
        <f aca="false">IF(J33="","",IF(OR(K33&lt;=$E$8,AG33&lt;$E$8),0,IF(AND(ROUND(AG33,4)=ROUND(AC33,4),ROUND(AE33,4)&lt;&gt;ROUND(AC33,4)),MIN(AF33,AD33),IF(AND(AJ33&gt;0.5,AJ33&lt;AL33),AI33-1,AI33))))</f>
        <v>3</v>
      </c>
      <c r="Q33" s="31" t="n">
        <f aca="false">IF(J33="","",M33-P33*$E$8)</f>
        <v>21.4397955246914</v>
      </c>
      <c r="R33" s="26" t="str">
        <f aca="false">IF(J33="","",IF(P33=0,"Shuttle longer than required distance, no COD needed",IF(J33*Y33&gt;=$E$8,"d_turn≥L",IF(AND(ROUND(AG33,4)=ROUND(AC33,4),ROUND(AE33,4)&lt;&gt;ROUND(AC33,4)),"Terminal rule applied",IF(AND(AJ33&gt;0.5,AJ33&lt;AL33),"Terminal rule applied",IF(Q33&gt;$E$8,"Terminal rule applied",IF(J33*Y33&gt;=0.8*$E$8,"d_turn≈80%L","")))))))</f>
        <v>Terminal rule applied</v>
      </c>
      <c r="S33" s="32" t="str">
        <f aca="false">IF(Q33="","",MAX(0,MROUND(Q33,$E$12)-INT($E$12/2))&amp;"-"&amp;MROUND(Q33,$E$12)+INT($E$12/2))</f>
        <v>18-22</v>
      </c>
      <c r="T33" s="23" t="n">
        <f aca="false">IF(OR(M33="",O33="",O33=0),"",ROUND(M33/O33,1))</f>
        <v>17.4</v>
      </c>
      <c r="U33" s="32" t="str">
        <f aca="false">IF(T33="","",ROUND(T33,0)&amp;"-"&amp;ROUND(T33,0)+3)</f>
        <v>17-20</v>
      </c>
      <c r="V33" s="34" t="n">
        <f aca="false">IF(OR(K33="",K33=0),"",(K33-M33)/K33)</f>
        <v>0.144259259259259</v>
      </c>
      <c r="W33" s="1" t="n">
        <f aca="false">IF(J33="","",H33*$E$9)</f>
        <v>7.5</v>
      </c>
      <c r="X33" s="1" t="n">
        <f aca="false">IF(J33="","",G33*$E$10)</f>
        <v>7.5</v>
      </c>
      <c r="Y33" s="1" t="n">
        <f aca="false">IF(J33="","",J33/(2*W33)+J33/(2*X33))</f>
        <v>0.721296296296296</v>
      </c>
      <c r="Z33" s="1" t="n">
        <f aca="false">IF(J33="","",MAX(0,INT(K33/$E$8)-1)+IF((K33-INT(K33/$E$8)*$E$8)&gt;0.5,1,0))</f>
        <v>5</v>
      </c>
      <c r="AA33" s="1" t="n">
        <f aca="false">IF(J33="","",J33*($E$5-Z33*Y33))</f>
        <v>61.63577031893</v>
      </c>
      <c r="AB33" s="1" t="n">
        <f aca="false">IF(J33="","",MAX(0,INT(AA33/$E$8)-1)+IF((AA33-INT(AA33/$E$8)*$E$8)&gt;0.5,1,0))</f>
        <v>3</v>
      </c>
      <c r="AC33" s="1" t="n">
        <f aca="false">IF(J33="","",J33*($E$5-AB33*Y33))</f>
        <v>69.4397955246914</v>
      </c>
      <c r="AD33" s="1" t="n">
        <f aca="false">IF(J33="","",MAX(0,INT(AC33/$E$8)-1)+IF((AC33-INT(AC33/$E$8)*$E$8)&gt;0.5,1,0))</f>
        <v>4</v>
      </c>
      <c r="AE33" s="1" t="n">
        <f aca="false">IF(J33="","",J33*($E$5-AD33*Y33))</f>
        <v>65.5377829218107</v>
      </c>
      <c r="AF33" s="1" t="n">
        <f aca="false">IF(J33="","",MAX(0,INT(AE33/$E$8)-1)+IF((AE33-INT(AE33/$E$8)*$E$8)&gt;0.5,1,0))</f>
        <v>4</v>
      </c>
      <c r="AG33" s="1" t="n">
        <f aca="false">IF(J33="","",J33*($E$5-AF33*Y33))</f>
        <v>65.5377829218107</v>
      </c>
      <c r="AH33" s="1" t="n">
        <f aca="false">IF(J33="","",INT(AG33/$E$8))</f>
        <v>4</v>
      </c>
      <c r="AI33" s="1" t="n">
        <f aca="false">IF(J33="","",MAX(0,AH33-1)+IF((AG33-AH33*$E$8)&gt;0.5,1,0))</f>
        <v>4</v>
      </c>
      <c r="AJ33" s="1" t="n">
        <f aca="false">IF(J33="","",AG33-AH33*$E$8)</f>
        <v>1.5377829218107</v>
      </c>
      <c r="AK33" s="1" t="n">
        <f aca="false">IF(J33="","",J33*Y33)</f>
        <v>3.90201260288066</v>
      </c>
      <c r="AL33" s="1" t="n">
        <f aca="false">IF(J33="","",J33^2/(2*X33))</f>
        <v>1.95100630144033</v>
      </c>
    </row>
    <row r="34" customFormat="false" ht="15" hidden="false" customHeight="true" outlineLevel="0" collapsed="false">
      <c r="B34" s="16" t="n">
        <v>19</v>
      </c>
      <c r="C34" s="17" t="s">
        <v>58</v>
      </c>
      <c r="D34" s="7"/>
      <c r="E34" s="7" t="n">
        <v>30</v>
      </c>
      <c r="F34" s="7" t="n">
        <v>21</v>
      </c>
      <c r="G34" s="18" t="n">
        <v>5</v>
      </c>
      <c r="H34" s="19" t="n">
        <v>6</v>
      </c>
      <c r="I34" s="35" t="str">
        <f aca="false">IF(AND(D34&lt;&gt;"",E34&lt;&gt;""),IF(E34/D34&lt;1.7,"Endurance",IF(E34/D34&gt;1.9,"Speed","Hybrid")),IF(AND(F34&lt;&gt;"",E34&lt;&gt;""),IF(E34/(F34/1.25)&lt;1.7,"Endurance*",IF(E34/(F34/1.25)&gt;1.9,"Speed*","Hybrid*")),""))</f>
        <v>Hybrid*</v>
      </c>
      <c r="J34" s="21" t="n">
        <f aca="false">IF(F34&lt;&gt;"",IF($E$11="km/h",F34/3.6,F34)*$E$7,IF(AND(D34&lt;&gt;"",E34&lt;&gt;""),IF($E$11="km/h",D34/3.6,D34)+$E$6*(IF($E$11="km/h",E34/3.6,E34)-IF($E$11="km/h",D34/3.6,D34)),""))</f>
        <v>5.54166666666667</v>
      </c>
      <c r="K34" s="22" t="n">
        <f aca="false">IF(J34="","",J34*$E$5)</f>
        <v>83.125</v>
      </c>
      <c r="L34" s="22" t="str">
        <f aca="false">IF(K34="","",MROUND(K34,$E$12)-INT($E$12/2)&amp;"-"&amp;MROUND(K34,$E$12)+INT($E$12/2))</f>
        <v>83-87</v>
      </c>
      <c r="M34" s="23" t="n">
        <f aca="false">IF(J34="","",IF(OR(K34&lt;=$E$8,AG34&lt;$E$8),K34,IF(AND(ROUND(AG34,4)=ROUND(AC34,4),ROUND(AE34,4)&lt;&gt;ROUND(AC34,4)),J34*($E$5-MIN(AF34,AD34)*Y34),IF(AND(AJ34&gt;0.5,AJ34&lt;AL34),J34*($E$5-(AI34-1)*Y34),AG34))))</f>
        <v>66.2344618055556</v>
      </c>
      <c r="N34" s="24" t="str">
        <f aca="false">IF(M34="","",MROUND(M34,$E$12)-INT($E$12/2)&amp;"-"&amp;MROUND(M34,$E$12)+INT($E$12/2))</f>
        <v>63-67</v>
      </c>
      <c r="O34" s="24" t="n">
        <f aca="false">IF(J34="","",P34+1)</f>
        <v>4</v>
      </c>
      <c r="P34" s="25" t="n">
        <f aca="false">IF(J34="","",IF(OR(K34&lt;=$E$8,AG34&lt;$E$8),0,IF(AND(ROUND(AG34,4)=ROUND(AC34,4),ROUND(AE34,4)&lt;&gt;ROUND(AC34,4)),MIN(AF34,AD34),IF(AND(AJ34&gt;0.5,AJ34&lt;AL34),AI34-1,AI34))))</f>
        <v>3</v>
      </c>
      <c r="Q34" s="22" t="n">
        <f aca="false">IF(J34="","",M34-P34*$E$8)</f>
        <v>18.2344618055556</v>
      </c>
      <c r="R34" s="26" t="str">
        <f aca="false">IF(J34="","",IF(P34=0,"Shuttle longer than required distance, no COD needed",IF(J34*Y34&gt;=$E$8,"d_turn≥L",IF(AND(ROUND(AG34,4)=ROUND(AC34,4),ROUND(AE34,4)&lt;&gt;ROUND(AC34,4)),"Terminal rule applied",IF(AND(AJ34&gt;0.5,AJ34&lt;AL34),"Terminal rule applied",IF(Q34&gt;$E$8,"Terminal rule applied",IF(J34*Y34&gt;=0.8*$E$8,"d_turn≈80%L","")))))))</f>
        <v>Terminal rule applied</v>
      </c>
      <c r="S34" s="24" t="str">
        <f aca="false">IF(Q34="","",MAX(0,MROUND(Q34,$E$12)-INT($E$12/2))&amp;"-"&amp;MROUND(Q34,$E$12)+INT($E$12/2))</f>
        <v>18-22</v>
      </c>
      <c r="T34" s="23" t="n">
        <f aca="false">IF(OR(M34="",O34="",O34=0),"",ROUND(M34/O34,1))</f>
        <v>16.6</v>
      </c>
      <c r="U34" s="24" t="str">
        <f aca="false">IF(T34="","",ROUND(T34,0)&amp;"-"&amp;ROUND(T34,0)+3)</f>
        <v>17-20</v>
      </c>
      <c r="V34" s="27" t="n">
        <f aca="false">IF(OR(K34="",K34=0),"",(K34-M34)/K34)</f>
        <v>0.203194444444444</v>
      </c>
      <c r="W34" s="1" t="n">
        <f aca="false">IF(J34="","",H34*$E$9)</f>
        <v>6</v>
      </c>
      <c r="X34" s="1" t="n">
        <f aca="false">IF(J34="","",G34*$E$10)</f>
        <v>5</v>
      </c>
      <c r="Y34" s="1" t="n">
        <f aca="false">IF(J34="","",J34/(2*W34)+J34/(2*X34))</f>
        <v>1.01597222222222</v>
      </c>
      <c r="Z34" s="1" t="n">
        <f aca="false">IF(J34="","",MAX(0,INT(K34/$E$8)-1)+IF((K34-INT(K34/$E$8)*$E$8)&gt;0.5,1,0))</f>
        <v>5</v>
      </c>
      <c r="AA34" s="1" t="n">
        <f aca="false">IF(J34="","",J34*($E$5-Z34*Y34))</f>
        <v>54.9741030092593</v>
      </c>
      <c r="AB34" s="1" t="n">
        <f aca="false">IF(J34="","",MAX(0,INT(AA34/$E$8)-1)+IF((AA34-INT(AA34/$E$8)*$E$8)&gt;0.5,1,0))</f>
        <v>3</v>
      </c>
      <c r="AC34" s="1" t="n">
        <f aca="false">IF(J34="","",J34*($E$5-AB34*Y34))</f>
        <v>66.2344618055556</v>
      </c>
      <c r="AD34" s="1" t="n">
        <f aca="false">IF(J34="","",MAX(0,INT(AC34/$E$8)-1)+IF((AC34-INT(AC34/$E$8)*$E$8)&gt;0.5,1,0))</f>
        <v>4</v>
      </c>
      <c r="AE34" s="1" t="n">
        <f aca="false">IF(J34="","",J34*($E$5-AD34*Y34))</f>
        <v>60.6042824074074</v>
      </c>
      <c r="AF34" s="1" t="n">
        <f aca="false">IF(J34="","",MAX(0,INT(AE34/$E$8)-1)+IF((AE34-INT(AE34/$E$8)*$E$8)&gt;0.5,1,0))</f>
        <v>3</v>
      </c>
      <c r="AG34" s="1" t="n">
        <f aca="false">IF(J34="","",J34*($E$5-AF34*Y34))</f>
        <v>66.2344618055556</v>
      </c>
      <c r="AH34" s="1" t="n">
        <f aca="false">IF(J34="","",INT(AG34/$E$8))</f>
        <v>4</v>
      </c>
      <c r="AI34" s="1" t="n">
        <f aca="false">IF(J34="","",MAX(0,AH34-1)+IF((AG34-AH34*$E$8)&gt;0.5,1,0))</f>
        <v>4</v>
      </c>
      <c r="AJ34" s="1" t="n">
        <f aca="false">IF(J34="","",AG34-AH34*$E$8)</f>
        <v>2.23446180555555</v>
      </c>
      <c r="AK34" s="1" t="n">
        <f aca="false">IF(J34="","",J34*Y34)</f>
        <v>5.63017939814815</v>
      </c>
      <c r="AL34" s="1" t="n">
        <f aca="false">IF(J34="","",J34^2/(2*X34))</f>
        <v>3.07100694444444</v>
      </c>
    </row>
    <row r="35" customFormat="false" ht="15" hidden="false" customHeight="true" outlineLevel="0" collapsed="false">
      <c r="B35" s="28" t="n">
        <v>20</v>
      </c>
      <c r="C35" s="17" t="s">
        <v>59</v>
      </c>
      <c r="D35" s="7"/>
      <c r="E35" s="7" t="n">
        <v>29</v>
      </c>
      <c r="F35" s="7" t="n">
        <v>21.5</v>
      </c>
      <c r="G35" s="18" t="n">
        <v>7.5</v>
      </c>
      <c r="H35" s="19" t="n">
        <v>7.5</v>
      </c>
      <c r="I35" s="37" t="str">
        <f aca="false">IF(AND(D35&lt;&gt;"",E35&lt;&gt;""),IF(E35/D35&lt;1.7,"Endurance",IF(E35/D35&gt;1.9,"Speed","Hybrid")),IF(AND(F35&lt;&gt;"",E35&lt;&gt;""),IF(E35/(F35/1.25)&lt;1.7,"Endurance*",IF(E35/(F35/1.25)&gt;1.9,"Speed*","Hybrid*")),""))</f>
        <v>Endurance*</v>
      </c>
      <c r="J35" s="30" t="n">
        <f aca="false">IF(F35&lt;&gt;"",IF($E$11="km/h",F35/3.6,F35)*$E$7,IF(AND(D35&lt;&gt;"",E35&lt;&gt;""),IF($E$11="km/h",D35/3.6,D35)+$E$6*(IF($E$11="km/h",E35/3.6,E35)-IF($E$11="km/h",D35/3.6,D35)),""))</f>
        <v>5.67361111111111</v>
      </c>
      <c r="K35" s="31" t="n">
        <f aca="false">IF(J35="","",J35*$E$5)</f>
        <v>85.1041666666667</v>
      </c>
      <c r="L35" s="31" t="str">
        <f aca="false">IF(K35="","",MROUND(K35,$E$12)-INT($E$12/2)&amp;"-"&amp;MROUND(K35,$E$12)+INT($E$12/2))</f>
        <v>83-87</v>
      </c>
      <c r="M35" s="23" t="n">
        <f aca="false">IF(J35="","",IF(OR(K35&lt;=$E$8,AG35&lt;$E$8),K35,IF(AND(ROUND(AG35,4)=ROUND(AC35,4),ROUND(AE35,4)&lt;&gt;ROUND(AC35,4)),J35*($E$5-MIN(AF35,AD35)*Y35),IF(AND(AJ35&gt;0.5,AJ35&lt;AL35),J35*($E$5-(AI35-1)*Y35),AG35))))</f>
        <v>67.9362397119342</v>
      </c>
      <c r="N35" s="32" t="str">
        <f aca="false">IF(M35="","",MROUND(M35,$E$12)-INT($E$12/2)&amp;"-"&amp;MROUND(M35,$E$12)+INT($E$12/2))</f>
        <v>68-72</v>
      </c>
      <c r="O35" s="32" t="n">
        <f aca="false">IF(J35="","",P35+1)</f>
        <v>5</v>
      </c>
      <c r="P35" s="33" t="n">
        <f aca="false">IF(J35="","",IF(OR(K35&lt;=$E$8,AG35&lt;$E$8),0,IF(AND(ROUND(AG35,4)=ROUND(AC35,4),ROUND(AE35,4)&lt;&gt;ROUND(AC35,4)),MIN(AF35,AD35),IF(AND(AJ35&gt;0.5,AJ35&lt;AL35),AI35-1,AI35))))</f>
        <v>4</v>
      </c>
      <c r="Q35" s="31" t="n">
        <f aca="false">IF(J35="","",M35-P35*$E$8)</f>
        <v>3.93623971193415</v>
      </c>
      <c r="R35" s="26" t="str">
        <f aca="false">IF(J35="","",IF(P35=0,"Shuttle longer than required distance, no COD needed",IF(J35*Y35&gt;=$E$8,"d_turn≥L",IF(AND(ROUND(AG35,4)=ROUND(AC35,4),ROUND(AE35,4)&lt;&gt;ROUND(AC35,4)),"Terminal rule applied",IF(AND(AJ35&gt;0.5,AJ35&lt;AL35),"Terminal rule applied",IF(Q35&gt;$E$8,"Terminal rule applied",IF(J35*Y35&gt;=0.8*$E$8,"d_turn≈80%L","")))))))</f>
        <v/>
      </c>
      <c r="S35" s="32" t="str">
        <f aca="false">IF(Q35="","",MAX(0,MROUND(Q35,$E$12)-INT($E$12/2))&amp;"-"&amp;MROUND(Q35,$E$12)+INT($E$12/2))</f>
        <v>3-7</v>
      </c>
      <c r="T35" s="23" t="n">
        <f aca="false">IF(OR(M35="",O35="",O35=0),"",ROUND(M35/O35,1))</f>
        <v>13.6</v>
      </c>
      <c r="U35" s="32" t="str">
        <f aca="false">IF(T35="","",ROUND(T35,0)&amp;"-"&amp;ROUND(T35,0)+3)</f>
        <v>14-17</v>
      </c>
      <c r="V35" s="34" t="n">
        <f aca="false">IF(OR(K35="",K35=0),"",(K35-M35)/K35)</f>
        <v>0.201728395061728</v>
      </c>
      <c r="W35" s="1" t="n">
        <f aca="false">IF(J35="","",H35*$E$9)</f>
        <v>7.5</v>
      </c>
      <c r="X35" s="1" t="n">
        <f aca="false">IF(J35="","",G35*$E$10)</f>
        <v>7.5</v>
      </c>
      <c r="Y35" s="1" t="n">
        <f aca="false">IF(J35="","",J35/(2*W35)+J35/(2*X35))</f>
        <v>0.756481481481481</v>
      </c>
      <c r="Z35" s="1" t="n">
        <f aca="false">IF(J35="","",MAX(0,INT(K35/$E$8)-1)+IF((K35-INT(K35/$E$8)*$E$8)&gt;0.5,1,0))</f>
        <v>5</v>
      </c>
      <c r="AA35" s="1" t="n">
        <f aca="false">IF(J35="","",J35*($E$5-Z35*Y35))</f>
        <v>63.644257973251</v>
      </c>
      <c r="AB35" s="1" t="n">
        <f aca="false">IF(J35="","",MAX(0,INT(AA35/$E$8)-1)+IF((AA35-INT(AA35/$E$8)*$E$8)&gt;0.5,1,0))</f>
        <v>3</v>
      </c>
      <c r="AC35" s="1" t="n">
        <f aca="false">IF(J35="","",J35*($E$5-AB35*Y35))</f>
        <v>72.2282214506173</v>
      </c>
      <c r="AD35" s="1" t="n">
        <f aca="false">IF(J35="","",MAX(0,INT(AC35/$E$8)-1)+IF((AC35-INT(AC35/$E$8)*$E$8)&gt;0.5,1,0))</f>
        <v>4</v>
      </c>
      <c r="AE35" s="1" t="n">
        <f aca="false">IF(J35="","",J35*($E$5-AD35*Y35))</f>
        <v>67.9362397119342</v>
      </c>
      <c r="AF35" s="1" t="n">
        <f aca="false">IF(J35="","",MAX(0,INT(AE35/$E$8)-1)+IF((AE35-INT(AE35/$E$8)*$E$8)&gt;0.5,1,0))</f>
        <v>4</v>
      </c>
      <c r="AG35" s="1" t="n">
        <f aca="false">IF(J35="","",J35*($E$5-AF35*Y35))</f>
        <v>67.9362397119342</v>
      </c>
      <c r="AH35" s="1" t="n">
        <f aca="false">IF(J35="","",INT(AG35/$E$8))</f>
        <v>4</v>
      </c>
      <c r="AI35" s="1" t="n">
        <f aca="false">IF(J35="","",MAX(0,AH35-1)+IF((AG35-AH35*$E$8)&gt;0.5,1,0))</f>
        <v>4</v>
      </c>
      <c r="AJ35" s="1" t="n">
        <f aca="false">IF(J35="","",AG35-AH35*$E$8)</f>
        <v>3.93623971193415</v>
      </c>
      <c r="AK35" s="1" t="n">
        <f aca="false">IF(J35="","",J35*Y35)</f>
        <v>4.29198173868313</v>
      </c>
      <c r="AL35" s="1" t="n">
        <f aca="false">IF(J35="","",J35^2/(2*X35))</f>
        <v>2.14599086934156</v>
      </c>
    </row>
    <row r="36" customFormat="false" ht="15" hidden="false" customHeight="true" outlineLevel="0" collapsed="false">
      <c r="B36" s="16" t="n">
        <v>21</v>
      </c>
      <c r="C36" s="17" t="s">
        <v>60</v>
      </c>
      <c r="D36" s="7"/>
      <c r="E36" s="7" t="n">
        <v>34</v>
      </c>
      <c r="F36" s="7" t="n">
        <v>22</v>
      </c>
      <c r="G36" s="18" t="n">
        <v>5</v>
      </c>
      <c r="H36" s="19" t="n">
        <v>6</v>
      </c>
      <c r="I36" s="36" t="str">
        <f aca="false">IF(AND(D36&lt;&gt;"",E36&lt;&gt;""),IF(E36/D36&lt;1.7,"Endurance",IF(E36/D36&gt;1.9,"Speed","Hybrid")),IF(AND(F36&lt;&gt;"",E36&lt;&gt;""),IF(E36/(F36/1.25)&lt;1.7,"Endurance*",IF(E36/(F36/1.25)&gt;1.9,"Speed*","Hybrid*")),""))</f>
        <v>Speed*</v>
      </c>
      <c r="J36" s="21" t="n">
        <f aca="false">IF(F36&lt;&gt;"",IF($E$11="km/h",F36/3.6,F36)*$E$7,IF(AND(D36&lt;&gt;"",E36&lt;&gt;""),IF($E$11="km/h",D36/3.6,D36)+$E$6*(IF($E$11="km/h",E36/3.6,E36)-IF($E$11="km/h",D36/3.6,D36)),""))</f>
        <v>5.80555555555555</v>
      </c>
      <c r="K36" s="22" t="n">
        <f aca="false">IF(J36="","",J36*$E$5)</f>
        <v>87.0833333333333</v>
      </c>
      <c r="L36" s="22" t="str">
        <f aca="false">IF(K36="","",MROUND(K36,$E$12)-INT($E$12/2)&amp;"-"&amp;MROUND(K36,$E$12)+INT($E$12/2))</f>
        <v>83-87</v>
      </c>
      <c r="M36" s="23" t="n">
        <f aca="false">IF(J36="","",IF(OR(K36&lt;=$E$8,AG36&lt;$E$8),K36,IF(AND(ROUND(AG36,4)=ROUND(AC36,4),ROUND(AE36,4)&lt;&gt;ROUND(AC36,4)),J36*($E$5-MIN(AF36,AD36)*Y36),IF(AND(AJ36&gt;0.5,AJ36&lt;AL36),J36*($E$5-(AI36-1)*Y36),AG36))))</f>
        <v>68.5458719135802</v>
      </c>
      <c r="N36" s="24" t="str">
        <f aca="false">IF(M36="","",MROUND(M36,$E$12)-INT($E$12/2)&amp;"-"&amp;MROUND(M36,$E$12)+INT($E$12/2))</f>
        <v>68-72</v>
      </c>
      <c r="O36" s="24" t="n">
        <f aca="false">IF(J36="","",P36+1)</f>
        <v>4</v>
      </c>
      <c r="P36" s="25" t="n">
        <f aca="false">IF(J36="","",IF(OR(K36&lt;=$E$8,AG36&lt;$E$8),0,IF(AND(ROUND(AG36,4)=ROUND(AC36,4),ROUND(AE36,4)&lt;&gt;ROUND(AC36,4)),MIN(AF36,AD36),IF(AND(AJ36&gt;0.5,AJ36&lt;AL36),AI36-1,AI36))))</f>
        <v>3</v>
      </c>
      <c r="Q36" s="22" t="n">
        <f aca="false">IF(J36="","",M36-P36*$E$8)</f>
        <v>20.5458719135802</v>
      </c>
      <c r="R36" s="26" t="str">
        <f aca="false">IF(J36="","",IF(P36=0,"Shuttle longer than required distance, no COD needed",IF(J36*Y36&gt;=$E$8,"d_turn≥L",IF(AND(ROUND(AG36,4)=ROUND(AC36,4),ROUND(AE36,4)&lt;&gt;ROUND(AC36,4)),"Terminal rule applied",IF(AND(AJ36&gt;0.5,AJ36&lt;AL36),"Terminal rule applied",IF(Q36&gt;$E$8,"Terminal rule applied",IF(J36*Y36&gt;=0.8*$E$8,"d_turn≈80%L","")))))))</f>
        <v>Terminal rule applied</v>
      </c>
      <c r="S36" s="24" t="str">
        <f aca="false">IF(Q36="","",MAX(0,MROUND(Q36,$E$12)-INT($E$12/2))&amp;"-"&amp;MROUND(Q36,$E$12)+INT($E$12/2))</f>
        <v>18-22</v>
      </c>
      <c r="T36" s="23" t="n">
        <f aca="false">IF(OR(M36="",O36="",O36=0),"",ROUND(M36/O36,1))</f>
        <v>17.1</v>
      </c>
      <c r="U36" s="24" t="str">
        <f aca="false">IF(T36="","",ROUND(T36,0)&amp;"-"&amp;ROUND(T36,0)+3)</f>
        <v>17-20</v>
      </c>
      <c r="V36" s="27" t="n">
        <f aca="false">IF(OR(K36="",K36=0),"",(K36-M36)/K36)</f>
        <v>0.21287037037037</v>
      </c>
      <c r="W36" s="1" t="n">
        <f aca="false">IF(J36="","",H36*$E$9)</f>
        <v>6</v>
      </c>
      <c r="X36" s="1" t="n">
        <f aca="false">IF(J36="","",G36*$E$10)</f>
        <v>5</v>
      </c>
      <c r="Y36" s="1" t="n">
        <f aca="false">IF(J36="","",J36/(2*W36)+J36/(2*X36))</f>
        <v>1.06435185185185</v>
      </c>
      <c r="Z36" s="1" t="n">
        <f aca="false">IF(J36="","",MAX(0,INT(K36/$E$8)-1)+IF((K36-INT(K36/$E$8)*$E$8)&gt;0.5,1,0))</f>
        <v>5</v>
      </c>
      <c r="AA36" s="1" t="n">
        <f aca="false">IF(J36="","",J36*($E$5-Z36*Y36))</f>
        <v>56.1875643004115</v>
      </c>
      <c r="AB36" s="1" t="n">
        <f aca="false">IF(J36="","",MAX(0,INT(AA36/$E$8)-1)+IF((AA36-INT(AA36/$E$8)*$E$8)&gt;0.5,1,0))</f>
        <v>3</v>
      </c>
      <c r="AC36" s="1" t="n">
        <f aca="false">IF(J36="","",J36*($E$5-AB36*Y36))</f>
        <v>68.5458719135802</v>
      </c>
      <c r="AD36" s="1" t="n">
        <f aca="false">IF(J36="","",MAX(0,INT(AC36/$E$8)-1)+IF((AC36-INT(AC36/$E$8)*$E$8)&gt;0.5,1,0))</f>
        <v>4</v>
      </c>
      <c r="AE36" s="1" t="n">
        <f aca="false">IF(J36="","",J36*($E$5-AD36*Y36))</f>
        <v>62.3667181069959</v>
      </c>
      <c r="AF36" s="1" t="n">
        <f aca="false">IF(J36="","",MAX(0,INT(AE36/$E$8)-1)+IF((AE36-INT(AE36/$E$8)*$E$8)&gt;0.5,1,0))</f>
        <v>3</v>
      </c>
      <c r="AG36" s="1" t="n">
        <f aca="false">IF(J36="","",J36*($E$5-AF36*Y36))</f>
        <v>68.5458719135802</v>
      </c>
      <c r="AH36" s="1" t="n">
        <f aca="false">IF(J36="","",INT(AG36/$E$8))</f>
        <v>4</v>
      </c>
      <c r="AI36" s="1" t="n">
        <f aca="false">IF(J36="","",MAX(0,AH36-1)+IF((AG36-AH36*$E$8)&gt;0.5,1,0))</f>
        <v>4</v>
      </c>
      <c r="AJ36" s="1" t="n">
        <f aca="false">IF(J36="","",AG36-AH36*$E$8)</f>
        <v>4.54587191358023</v>
      </c>
      <c r="AK36" s="1" t="n">
        <f aca="false">IF(J36="","",J36*Y36)</f>
        <v>6.17915380658436</v>
      </c>
      <c r="AL36" s="1" t="n">
        <f aca="false">IF(J36="","",J36^2/(2*X36))</f>
        <v>3.3704475308642</v>
      </c>
    </row>
    <row r="37" customFormat="false" ht="15" hidden="false" customHeight="true" outlineLevel="0" collapsed="false">
      <c r="B37" s="28" t="n">
        <v>22</v>
      </c>
      <c r="C37" s="17" t="s">
        <v>61</v>
      </c>
      <c r="D37" s="7"/>
      <c r="E37" s="7" t="n">
        <v>30</v>
      </c>
      <c r="F37" s="7" t="n">
        <v>22.5</v>
      </c>
      <c r="G37" s="18" t="n">
        <v>5</v>
      </c>
      <c r="H37" s="19" t="n">
        <v>6</v>
      </c>
      <c r="I37" s="36" t="str">
        <f aca="false">IF(AND(D37&lt;&gt;"",E37&lt;&gt;""),IF(E37/D37&lt;1.7,"Endurance",IF(E37/D37&gt;1.9,"Speed","Hybrid")),IF(AND(F37&lt;&gt;"",E37&lt;&gt;""),IF(E37/(F37/1.25)&lt;1.7,"Endurance*",IF(E37/(F37/1.25)&gt;1.9,"Speed*","Hybrid*")),""))</f>
        <v>Endurance*</v>
      </c>
      <c r="J37" s="30" t="n">
        <f aca="false">IF(F37&lt;&gt;"",IF($E$11="km/h",F37/3.6,F37)*$E$7,IF(AND(D37&lt;&gt;"",E37&lt;&gt;""),IF($E$11="km/h",D37/3.6,D37)+$E$6*(IF($E$11="km/h",E37/3.6,E37)-IF($E$11="km/h",D37/3.6,D37)),""))</f>
        <v>5.9375</v>
      </c>
      <c r="K37" s="31" t="n">
        <f aca="false">IF(J37="","",J37*$E$5)</f>
        <v>89.0625</v>
      </c>
      <c r="L37" s="31" t="str">
        <f aca="false">IF(K37="","",MROUND(K37,$E$12)-INT($E$12/2)&amp;"-"&amp;MROUND(K37,$E$12)+INT($E$12/2))</f>
        <v>88-92</v>
      </c>
      <c r="M37" s="23" t="n">
        <f aca="false">IF(J37="","",IF(OR(K37&lt;=$E$8,AG37&lt;$E$8),K37,IF(AND(ROUND(AG37,4)=ROUND(AC37,4),ROUND(AE37,4)&lt;&gt;ROUND(AC37,4)),J37*($E$5-MIN(AF37,AD37)*Y37),IF(AND(AJ37&gt;0.5,AJ37&lt;AL37),J37*($E$5-(AI37-1)*Y37),AG37))))</f>
        <v>69.6728515625</v>
      </c>
      <c r="N37" s="32" t="str">
        <f aca="false">IF(M37="","",MROUND(M37,$E$12)-INT($E$12/2)&amp;"-"&amp;MROUND(M37,$E$12)+INT($E$12/2))</f>
        <v>68-72</v>
      </c>
      <c r="O37" s="32" t="n">
        <f aca="false">IF(J37="","",P37+1)</f>
        <v>4</v>
      </c>
      <c r="P37" s="33" t="n">
        <f aca="false">IF(J37="","",IF(OR(K37&lt;=$E$8,AG37&lt;$E$8),0,IF(AND(ROUND(AG37,4)=ROUND(AC37,4),ROUND(AE37,4)&lt;&gt;ROUND(AC37,4)),MIN(AF37,AD37),IF(AND(AJ37&gt;0.5,AJ37&lt;AL37),AI37-1,AI37))))</f>
        <v>3</v>
      </c>
      <c r="Q37" s="31" t="n">
        <f aca="false">IF(J37="","",M37-P37*$E$8)</f>
        <v>21.6728515625</v>
      </c>
      <c r="R37" s="26" t="str">
        <f aca="false">IF(J37="","",IF(P37=0,"Shuttle longer than required distance, no COD needed",IF(J37*Y37&gt;=$E$8,"d_turn≥L",IF(AND(ROUND(AG37,4)=ROUND(AC37,4),ROUND(AE37,4)&lt;&gt;ROUND(AC37,4)),"Terminal rule applied",IF(AND(AJ37&gt;0.5,AJ37&lt;AL37),"Terminal rule applied",IF(Q37&gt;$E$8,"Terminal rule applied",IF(J37*Y37&gt;=0.8*$E$8,"d_turn≈80%L","")))))))</f>
        <v>Terminal rule applied</v>
      </c>
      <c r="S37" s="32" t="str">
        <f aca="false">IF(Q37="","",MAX(0,MROUND(Q37,$E$12)-INT($E$12/2))&amp;"-"&amp;MROUND(Q37,$E$12)+INT($E$12/2))</f>
        <v>18-22</v>
      </c>
      <c r="T37" s="23" t="n">
        <f aca="false">IF(OR(M37="",O37="",O37=0),"",ROUND(M37/O37,1))</f>
        <v>17.4</v>
      </c>
      <c r="U37" s="32" t="str">
        <f aca="false">IF(T37="","",ROUND(T37,0)&amp;"-"&amp;ROUND(T37,0)+3)</f>
        <v>17-20</v>
      </c>
      <c r="V37" s="34" t="n">
        <f aca="false">IF(OR(K37="",K37=0),"",(K37-M37)/K37)</f>
        <v>0.217708333333333</v>
      </c>
      <c r="W37" s="1" t="n">
        <f aca="false">IF(J37="","",H37*$E$9)</f>
        <v>6</v>
      </c>
      <c r="X37" s="1" t="n">
        <f aca="false">IF(J37="","",G37*$E$10)</f>
        <v>5</v>
      </c>
      <c r="Y37" s="1" t="n">
        <f aca="false">IF(J37="","",J37/(2*W37)+J37/(2*X37))</f>
        <v>1.08854166666667</v>
      </c>
      <c r="Z37" s="1" t="n">
        <f aca="false">IF(J37="","",MAX(0,INT(K37/$E$8)-1)+IF((K37-INT(K37/$E$8)*$E$8)&gt;0.5,1,0))</f>
        <v>5</v>
      </c>
      <c r="AA37" s="1" t="n">
        <f aca="false">IF(J37="","",J37*($E$5-Z37*Y37))</f>
        <v>56.7464192708333</v>
      </c>
      <c r="AB37" s="1" t="n">
        <f aca="false">IF(J37="","",MAX(0,INT(AA37/$E$8)-1)+IF((AA37-INT(AA37/$E$8)*$E$8)&gt;0.5,1,0))</f>
        <v>3</v>
      </c>
      <c r="AC37" s="1" t="n">
        <f aca="false">IF(J37="","",J37*($E$5-AB37*Y37))</f>
        <v>69.6728515625</v>
      </c>
      <c r="AD37" s="1" t="n">
        <f aca="false">IF(J37="","",MAX(0,INT(AC37/$E$8)-1)+IF((AC37-INT(AC37/$E$8)*$E$8)&gt;0.5,1,0))</f>
        <v>4</v>
      </c>
      <c r="AE37" s="1" t="n">
        <f aca="false">IF(J37="","",J37*($E$5-AD37*Y37))</f>
        <v>63.2096354166667</v>
      </c>
      <c r="AF37" s="1" t="n">
        <f aca="false">IF(J37="","",MAX(0,INT(AE37/$E$8)-1)+IF((AE37-INT(AE37/$E$8)*$E$8)&gt;0.5,1,0))</f>
        <v>3</v>
      </c>
      <c r="AG37" s="1" t="n">
        <f aca="false">IF(J37="","",J37*($E$5-AF37*Y37))</f>
        <v>69.6728515625</v>
      </c>
      <c r="AH37" s="1" t="n">
        <f aca="false">IF(J37="","",INT(AG37/$E$8))</f>
        <v>4</v>
      </c>
      <c r="AI37" s="1" t="n">
        <f aca="false">IF(J37="","",MAX(0,AH37-1)+IF((AG37-AH37*$E$8)&gt;0.5,1,0))</f>
        <v>4</v>
      </c>
      <c r="AJ37" s="1" t="n">
        <f aca="false">IF(J37="","",AG37-AH37*$E$8)</f>
        <v>5.6728515625</v>
      </c>
      <c r="AK37" s="1" t="n">
        <f aca="false">IF(J37="","",J37*Y37)</f>
        <v>6.46321614583333</v>
      </c>
      <c r="AL37" s="1" t="n">
        <f aca="false">IF(J37="","",J37^2/(2*X37))</f>
        <v>3.525390625</v>
      </c>
    </row>
    <row r="38" customFormat="false" ht="15" hidden="false" customHeight="true" outlineLevel="0" collapsed="false">
      <c r="B38" s="16" t="n">
        <v>23</v>
      </c>
      <c r="C38" s="17" t="s">
        <v>62</v>
      </c>
      <c r="D38" s="7"/>
      <c r="E38" s="7" t="n">
        <v>34</v>
      </c>
      <c r="F38" s="7" t="n">
        <v>23</v>
      </c>
      <c r="G38" s="18" t="n">
        <v>5</v>
      </c>
      <c r="H38" s="19" t="n">
        <v>6</v>
      </c>
      <c r="I38" s="36" t="str">
        <f aca="false">IF(AND(D38&lt;&gt;"",E38&lt;&gt;""),IF(E38/D38&lt;1.7,"Endurance",IF(E38/D38&gt;1.9,"Speed","Hybrid")),IF(AND(F38&lt;&gt;"",E38&lt;&gt;""),IF(E38/(F38/1.25)&lt;1.7,"Endurance*",IF(E38/(F38/1.25)&gt;1.9,"Speed*","Hybrid*")),""))</f>
        <v>Hybrid*</v>
      </c>
      <c r="J38" s="21" t="n">
        <f aca="false">IF(F38&lt;&gt;"",IF($E$11="km/h",F38/3.6,F38)*$E$7,IF(AND(D38&lt;&gt;"",E38&lt;&gt;""),IF($E$11="km/h",D38/3.6,D38)+$E$6*(IF($E$11="km/h",E38/3.6,E38)-IF($E$11="km/h",D38/3.6,D38)),""))</f>
        <v>6.06944444444444</v>
      </c>
      <c r="K38" s="22" t="n">
        <f aca="false">IF(J38="","",J38*$E$5)</f>
        <v>91.0416666666667</v>
      </c>
      <c r="L38" s="22" t="str">
        <f aca="false">IF(K38="","",MROUND(K38,$E$12)-INT($E$12/2)&amp;"-"&amp;MROUND(K38,$E$12)+INT($E$12/2))</f>
        <v>88-92</v>
      </c>
      <c r="M38" s="23" t="n">
        <f aca="false">IF(J38="","",IF(OR(K38&lt;=$E$8,AG38&lt;$E$8),K38,IF(AND(ROUND(AG38,4)=ROUND(AC38,4),ROUND(AE38,4)&lt;&gt;ROUND(AC38,4)),J38*($E$5-MIN(AF38,AD38)*Y38),IF(AND(AJ38&gt;0.5,AJ38&lt;AL38),J38*($E$5-(AI38-1)*Y38),AG38))))</f>
        <v>70.780680941358</v>
      </c>
      <c r="N38" s="24" t="str">
        <f aca="false">IF(M38="","",MROUND(M38,$E$12)-INT($E$12/2)&amp;"-"&amp;MROUND(M38,$E$12)+INT($E$12/2))</f>
        <v>68-72</v>
      </c>
      <c r="O38" s="24" t="n">
        <f aca="false">IF(J38="","",P38+1)</f>
        <v>4</v>
      </c>
      <c r="P38" s="25" t="n">
        <f aca="false">IF(J38="","",IF(OR(K38&lt;=$E$8,AG38&lt;$E$8),0,IF(AND(ROUND(AG38,4)=ROUND(AC38,4),ROUND(AE38,4)&lt;&gt;ROUND(AC38,4)),MIN(AF38,AD38),IF(AND(AJ38&gt;0.5,AJ38&lt;AL38),AI38-1,AI38))))</f>
        <v>3</v>
      </c>
      <c r="Q38" s="22" t="n">
        <f aca="false">IF(J38="","",M38-P38*$E$8)</f>
        <v>22.780680941358</v>
      </c>
      <c r="R38" s="26" t="str">
        <f aca="false">IF(J38="","",IF(P38=0,"Shuttle longer than required distance, no COD needed",IF(J38*Y38&gt;=$E$8,"d_turn≥L",IF(AND(ROUND(AG38,4)=ROUND(AC38,4),ROUND(AE38,4)&lt;&gt;ROUND(AC38,4)),"Terminal rule applied",IF(AND(AJ38&gt;0.5,AJ38&lt;AL38),"Terminal rule applied",IF(Q38&gt;$E$8,"Terminal rule applied",IF(J38*Y38&gt;=0.8*$E$8,"d_turn≈80%L","")))))))</f>
        <v>Terminal rule applied</v>
      </c>
      <c r="S38" s="24" t="str">
        <f aca="false">IF(Q38="","",MAX(0,MROUND(Q38,$E$12)-INT($E$12/2))&amp;"-"&amp;MROUND(Q38,$E$12)+INT($E$12/2))</f>
        <v>23-27</v>
      </c>
      <c r="T38" s="23" t="n">
        <f aca="false">IF(OR(M38="",O38="",O38=0),"",ROUND(M38/O38,1))</f>
        <v>17.7</v>
      </c>
      <c r="U38" s="24" t="str">
        <f aca="false">IF(T38="","",ROUND(T38,0)&amp;"-"&amp;ROUND(T38,0)+3)</f>
        <v>18-21</v>
      </c>
      <c r="V38" s="27" t="n">
        <f aca="false">IF(OR(K38="",K38=0),"",(K38-M38)/K38)</f>
        <v>0.222546296296296</v>
      </c>
      <c r="W38" s="1" t="n">
        <f aca="false">IF(J38="","",H38*$E$9)</f>
        <v>6</v>
      </c>
      <c r="X38" s="1" t="n">
        <f aca="false">IF(J38="","",G38*$E$10)</f>
        <v>5</v>
      </c>
      <c r="Y38" s="1" t="n">
        <f aca="false">IF(J38="","",J38/(2*W38)+J38/(2*X38))</f>
        <v>1.11273148148148</v>
      </c>
      <c r="Z38" s="1" t="n">
        <f aca="false">IF(J38="","",MAX(0,INT(K38/$E$8)-1)+IF((K38-INT(K38/$E$8)*$E$8)&gt;0.5,1,0))</f>
        <v>5</v>
      </c>
      <c r="AA38" s="1" t="n">
        <f aca="false">IF(J38="","",J38*($E$5-Z38*Y38))</f>
        <v>57.2733571244856</v>
      </c>
      <c r="AB38" s="1" t="n">
        <f aca="false">IF(J38="","",MAX(0,INT(AA38/$E$8)-1)+IF((AA38-INT(AA38/$E$8)*$E$8)&gt;0.5,1,0))</f>
        <v>3</v>
      </c>
      <c r="AC38" s="1" t="n">
        <f aca="false">IF(J38="","",J38*($E$5-AB38*Y38))</f>
        <v>70.780680941358</v>
      </c>
      <c r="AD38" s="1" t="n">
        <f aca="false">IF(J38="","",MAX(0,INT(AC38/$E$8)-1)+IF((AC38-INT(AC38/$E$8)*$E$8)&gt;0.5,1,0))</f>
        <v>4</v>
      </c>
      <c r="AE38" s="1" t="n">
        <f aca="false">IF(J38="","",J38*($E$5-AD38*Y38))</f>
        <v>64.0270190329218</v>
      </c>
      <c r="AF38" s="1" t="n">
        <f aca="false">IF(J38="","",MAX(0,INT(AE38/$E$8)-1)+IF((AE38-INT(AE38/$E$8)*$E$8)&gt;0.5,1,0))</f>
        <v>3</v>
      </c>
      <c r="AG38" s="1" t="n">
        <f aca="false">IF(J38="","",J38*($E$5-AF38*Y38))</f>
        <v>70.780680941358</v>
      </c>
      <c r="AH38" s="1" t="n">
        <f aca="false">IF(J38="","",INT(AG38/$E$8))</f>
        <v>4</v>
      </c>
      <c r="AI38" s="1" t="n">
        <f aca="false">IF(J38="","",MAX(0,AH38-1)+IF((AG38-AH38*$E$8)&gt;0.5,1,0))</f>
        <v>4</v>
      </c>
      <c r="AJ38" s="1" t="n">
        <f aca="false">IF(J38="","",AG38-AH38*$E$8)</f>
        <v>6.78068094135803</v>
      </c>
      <c r="AK38" s="1" t="n">
        <f aca="false">IF(J38="","",J38*Y38)</f>
        <v>6.75366190843621</v>
      </c>
      <c r="AL38" s="1" t="n">
        <f aca="false">IF(J38="","",J38^2/(2*X38))</f>
        <v>3.68381558641975</v>
      </c>
    </row>
    <row r="39" customFormat="false" ht="15" hidden="false" customHeight="true" outlineLevel="0" collapsed="false">
      <c r="B39" s="28" t="n">
        <v>24</v>
      </c>
      <c r="C39" s="17" t="s">
        <v>63</v>
      </c>
      <c r="D39" s="7"/>
      <c r="E39" s="7" t="n">
        <v>33</v>
      </c>
      <c r="F39" s="7" t="n">
        <v>23.5</v>
      </c>
      <c r="G39" s="18" t="n">
        <v>5</v>
      </c>
      <c r="H39" s="19" t="n">
        <v>6</v>
      </c>
      <c r="I39" s="36" t="str">
        <f aca="false">IF(AND(D39&lt;&gt;"",E39&lt;&gt;""),IF(E39/D39&lt;1.7,"Endurance",IF(E39/D39&gt;1.9,"Speed","Hybrid")),IF(AND(F39&lt;&gt;"",E39&lt;&gt;""),IF(E39/(F39/1.25)&lt;1.7,"Endurance*",IF(E39/(F39/1.25)&gt;1.9,"Speed*","Hybrid*")),""))</f>
        <v>Hybrid*</v>
      </c>
      <c r="J39" s="30" t="n">
        <f aca="false">IF(F39&lt;&gt;"",IF($E$11="km/h",F39/3.6,F39)*$E$7,IF(AND(D39&lt;&gt;"",E39&lt;&gt;""),IF($E$11="km/h",D39/3.6,D39)+$E$6*(IF($E$11="km/h",E39/3.6,E39)-IF($E$11="km/h",D39/3.6,D39)),""))</f>
        <v>6.20138888888889</v>
      </c>
      <c r="K39" s="31" t="n">
        <f aca="false">IF(J39="","",J39*$E$5)</f>
        <v>93.0208333333333</v>
      </c>
      <c r="L39" s="31" t="str">
        <f aca="false">IF(K39="","",MROUND(K39,$E$12)-INT($E$12/2)&amp;"-"&amp;MROUND(K39,$E$12)+INT($E$12/2))</f>
        <v>93-97</v>
      </c>
      <c r="M39" s="23" t="n">
        <f aca="false">IF(J39="","",IF(OR(K39&lt;=$E$8,AG39&lt;$E$8),K39,IF(AND(ROUND(AG39,4)=ROUND(AC39,4),ROUND(AE39,4)&lt;&gt;ROUND(AC39,4)),J39*($E$5-MIN(AF39,AD39)*Y39),IF(AND(AJ39&gt;0.5,AJ39&lt;AL39),J39*($E$5-(AI39-1)*Y39),AG39))))</f>
        <v>71.8693600501543</v>
      </c>
      <c r="N39" s="32" t="str">
        <f aca="false">IF(M39="","",MROUND(M39,$E$12)-INT($E$12/2)&amp;"-"&amp;MROUND(M39,$E$12)+INT($E$12/2))</f>
        <v>68-72</v>
      </c>
      <c r="O39" s="32" t="n">
        <f aca="false">IF(J39="","",P39+1)</f>
        <v>4</v>
      </c>
      <c r="P39" s="33" t="n">
        <f aca="false">IF(J39="","",IF(OR(K39&lt;=$E$8,AG39&lt;$E$8),0,IF(AND(ROUND(AG39,4)=ROUND(AC39,4),ROUND(AE39,4)&lt;&gt;ROUND(AC39,4)),MIN(AF39,AD39),IF(AND(AJ39&gt;0.5,AJ39&lt;AL39),AI39-1,AI39))))</f>
        <v>3</v>
      </c>
      <c r="Q39" s="31" t="n">
        <f aca="false">IF(J39="","",M39-P39*$E$8)</f>
        <v>23.8693600501543</v>
      </c>
      <c r="R39" s="26" t="str">
        <f aca="false">IF(J39="","",IF(P39=0,"Shuttle longer than required distance, no COD needed",IF(J39*Y39&gt;=$E$8,"d_turn≥L",IF(AND(ROUND(AG39,4)=ROUND(AC39,4),ROUND(AE39,4)&lt;&gt;ROUND(AC39,4)),"Terminal rule applied",IF(AND(AJ39&gt;0.5,AJ39&lt;AL39),"Terminal rule applied",IF(Q39&gt;$E$8,"Terminal rule applied",IF(J39*Y39&gt;=0.8*$E$8,"d_turn≈80%L","")))))))</f>
        <v>Terminal rule applied</v>
      </c>
      <c r="S39" s="32" t="str">
        <f aca="false">IF(Q39="","",MAX(0,MROUND(Q39,$E$12)-INT($E$12/2))&amp;"-"&amp;MROUND(Q39,$E$12)+INT($E$12/2))</f>
        <v>23-27</v>
      </c>
      <c r="T39" s="23" t="n">
        <f aca="false">IF(OR(M39="",O39="",O39=0),"",ROUND(M39/O39,1))</f>
        <v>18</v>
      </c>
      <c r="U39" s="32" t="str">
        <f aca="false">IF(T39="","",ROUND(T39,0)&amp;"-"&amp;ROUND(T39,0)+3)</f>
        <v>18-21</v>
      </c>
      <c r="V39" s="34" t="n">
        <f aca="false">IF(OR(K39="",K39=0),"",(K39-M39)/K39)</f>
        <v>0.227384259259259</v>
      </c>
      <c r="W39" s="1" t="n">
        <f aca="false">IF(J39="","",H39*$E$9)</f>
        <v>6</v>
      </c>
      <c r="X39" s="1" t="n">
        <f aca="false">IF(J39="","",G39*$E$10)</f>
        <v>5</v>
      </c>
      <c r="Y39" s="1" t="n">
        <f aca="false">IF(J39="","",J39/(2*W39)+J39/(2*X39))</f>
        <v>1.1369212962963</v>
      </c>
      <c r="Z39" s="1" t="n">
        <f aca="false">IF(J39="","",MAX(0,INT(K39/$E$8)-1)+IF((K39-INT(K39/$E$8)*$E$8)&gt;0.5,1,0))</f>
        <v>5</v>
      </c>
      <c r="AA39" s="1" t="n">
        <f aca="false">IF(J39="","",J39*($E$5-Z39*Y39))</f>
        <v>57.7683778613683</v>
      </c>
      <c r="AB39" s="1" t="n">
        <f aca="false">IF(J39="","",MAX(0,INT(AA39/$E$8)-1)+IF((AA39-INT(AA39/$E$8)*$E$8)&gt;0.5,1,0))</f>
        <v>3</v>
      </c>
      <c r="AC39" s="1" t="n">
        <f aca="false">IF(J39="","",J39*($E$5-AB39*Y39))</f>
        <v>71.8693600501543</v>
      </c>
      <c r="AD39" s="1" t="n">
        <f aca="false">IF(J39="","",MAX(0,INT(AC39/$E$8)-1)+IF((AC39-INT(AC39/$E$8)*$E$8)&gt;0.5,1,0))</f>
        <v>4</v>
      </c>
      <c r="AE39" s="1" t="n">
        <f aca="false">IF(J39="","",J39*($E$5-AD39*Y39))</f>
        <v>64.8188689557613</v>
      </c>
      <c r="AF39" s="1" t="n">
        <f aca="false">IF(J39="","",MAX(0,INT(AE39/$E$8)-1)+IF((AE39-INT(AE39/$E$8)*$E$8)&gt;0.5,1,0))</f>
        <v>4</v>
      </c>
      <c r="AG39" s="1" t="n">
        <f aca="false">IF(J39="","",J39*($E$5-AF39*Y39))</f>
        <v>64.8188689557613</v>
      </c>
      <c r="AH39" s="1" t="n">
        <f aca="false">IF(J39="","",INT(AG39/$E$8))</f>
        <v>4</v>
      </c>
      <c r="AI39" s="1" t="n">
        <f aca="false">IF(J39="","",MAX(0,AH39-1)+IF((AG39-AH39*$E$8)&gt;0.5,1,0))</f>
        <v>4</v>
      </c>
      <c r="AJ39" s="1" t="n">
        <f aca="false">IF(J39="","",AG39-AH39*$E$8)</f>
        <v>0.818868955761317</v>
      </c>
      <c r="AK39" s="1" t="n">
        <f aca="false">IF(J39="","",J39*Y39)</f>
        <v>7.050491094393</v>
      </c>
      <c r="AL39" s="1" t="n">
        <f aca="false">IF(J39="","",J39^2/(2*X39))</f>
        <v>3.84572241512346</v>
      </c>
    </row>
    <row r="40" customFormat="false" ht="15" hidden="false" customHeight="true" outlineLevel="0" collapsed="false">
      <c r="B40" s="16" t="n">
        <v>25</v>
      </c>
      <c r="C40" s="17" t="s">
        <v>64</v>
      </c>
      <c r="D40" s="7"/>
      <c r="E40" s="7" t="n">
        <v>35</v>
      </c>
      <c r="F40" s="7" t="n">
        <v>24</v>
      </c>
      <c r="G40" s="18" t="n">
        <v>5</v>
      </c>
      <c r="H40" s="19" t="n">
        <v>6</v>
      </c>
      <c r="I40" s="39" t="str">
        <f aca="false">IF(AND(D40&lt;&gt;"",E40&lt;&gt;""),IF(E40/D40&lt;1.7,"Endurance",IF(E40/D40&gt;1.9,"Speed","Hybrid")),IF(AND(F40&lt;&gt;"",E40&lt;&gt;""),IF(E40/(F40/1.25)&lt;1.7,"Endurance*",IF(E40/(F40/1.25)&gt;1.9,"Speed*","Hybrid*")),""))</f>
        <v>Hybrid*</v>
      </c>
      <c r="J40" s="21" t="n">
        <f aca="false">IF(F40&lt;&gt;"",IF($E$11="km/h",F40/3.6,F40)*$E$7,IF(AND(D40&lt;&gt;"",E40&lt;&gt;""),IF($E$11="km/h",D40/3.6,D40)+$E$6*(IF($E$11="km/h",E40/3.6,E40)-IF($E$11="km/h",D40/3.6,D40)),""))</f>
        <v>6.33333333333333</v>
      </c>
      <c r="K40" s="22" t="n">
        <f aca="false">IF(J40="","",J40*$E$5)</f>
        <v>95</v>
      </c>
      <c r="L40" s="22" t="str">
        <f aca="false">IF(K40="","",MROUND(K40,$E$12)-INT($E$12/2)&amp;"-"&amp;MROUND(K40,$E$12)+INT($E$12/2))</f>
        <v>93-97</v>
      </c>
      <c r="M40" s="23" t="n">
        <f aca="false">IF(J40="","",IF(OR(K40&lt;=$E$8,AG40&lt;$E$8),K40,IF(AND(ROUND(AG40,4)=ROUND(AC40,4),ROUND(AE40,4)&lt;&gt;ROUND(AC40,4)),J40*($E$5-MIN(AF40,AD40)*Y40),IF(AND(AJ40&gt;0.5,AJ40&lt;AL40),J40*($E$5-(AI40-1)*Y40),AG40))))</f>
        <v>72.9388888888889</v>
      </c>
      <c r="N40" s="24" t="str">
        <f aca="false">IF(M40="","",MROUND(M40,$E$12)-INT($E$12/2)&amp;"-"&amp;MROUND(M40,$E$12)+INT($E$12/2))</f>
        <v>73-77</v>
      </c>
      <c r="O40" s="24" t="n">
        <f aca="false">IF(J40="","",P40+1)</f>
        <v>4</v>
      </c>
      <c r="P40" s="25" t="n">
        <f aca="false">IF(J40="","",IF(OR(K40&lt;=$E$8,AG40&lt;$E$8),0,IF(AND(ROUND(AG40,4)=ROUND(AC40,4),ROUND(AE40,4)&lt;&gt;ROUND(AC40,4)),MIN(AF40,AD40),IF(AND(AJ40&gt;0.5,AJ40&lt;AL40),AI40-1,AI40))))</f>
        <v>3</v>
      </c>
      <c r="Q40" s="22" t="n">
        <f aca="false">IF(J40="","",M40-P40*$E$8)</f>
        <v>24.9388888888889</v>
      </c>
      <c r="R40" s="26" t="str">
        <f aca="false">IF(J40="","",IF(P40=0,"Shuttle longer than required distance, no COD needed",IF(J40*Y40&gt;=$E$8,"d_turn≥L",IF(AND(ROUND(AG40,4)=ROUND(AC40,4),ROUND(AE40,4)&lt;&gt;ROUND(AC40,4)),"Terminal rule applied",IF(AND(AJ40&gt;0.5,AJ40&lt;AL40),"Terminal rule applied",IF(Q40&gt;$E$8,"Terminal rule applied",IF(J40*Y40&gt;=0.8*$E$8,"d_turn≈80%L","")))))))</f>
        <v>Terminal rule applied</v>
      </c>
      <c r="S40" s="24" t="str">
        <f aca="false">IF(Q40="","",MAX(0,MROUND(Q40,$E$12)-INT($E$12/2))&amp;"-"&amp;MROUND(Q40,$E$12)+INT($E$12/2))</f>
        <v>23-27</v>
      </c>
      <c r="T40" s="23" t="n">
        <f aca="false">IF(OR(M40="",O40="",O40=0),"",ROUND(M40/O40,1))</f>
        <v>18.2</v>
      </c>
      <c r="U40" s="24" t="str">
        <f aca="false">IF(T40="","",ROUND(T40,0)&amp;"-"&amp;ROUND(T40,0)+3)</f>
        <v>18-21</v>
      </c>
      <c r="V40" s="27" t="n">
        <f aca="false">IF(OR(K40="",K40=0),"",(K40-M40)/K40)</f>
        <v>0.232222222222222</v>
      </c>
      <c r="W40" s="1" t="n">
        <f aca="false">IF(J40="","",H40*$E$9)</f>
        <v>6</v>
      </c>
      <c r="X40" s="1" t="n">
        <f aca="false">IF(J40="","",G40*$E$10)</f>
        <v>5</v>
      </c>
      <c r="Y40" s="1" t="n">
        <f aca="false">IF(J40="","",J40/(2*W40)+J40/(2*X40))</f>
        <v>1.16111111111111</v>
      </c>
      <c r="Z40" s="1" t="n">
        <f aca="false">IF(J40="","",MAX(0,INT(K40/$E$8)-1)+IF((K40-INT(K40/$E$8)*$E$8)&gt;0.5,1,0))</f>
        <v>5</v>
      </c>
      <c r="AA40" s="1" t="n">
        <f aca="false">IF(J40="","",J40*($E$5-Z40*Y40))</f>
        <v>58.2314814814815</v>
      </c>
      <c r="AB40" s="1" t="n">
        <f aca="false">IF(J40="","",MAX(0,INT(AA40/$E$8)-1)+IF((AA40-INT(AA40/$E$8)*$E$8)&gt;0.5,1,0))</f>
        <v>3</v>
      </c>
      <c r="AC40" s="1" t="n">
        <f aca="false">IF(J40="","",J40*($E$5-AB40*Y40))</f>
        <v>72.9388888888889</v>
      </c>
      <c r="AD40" s="1" t="n">
        <f aca="false">IF(J40="","",MAX(0,INT(AC40/$E$8)-1)+IF((AC40-INT(AC40/$E$8)*$E$8)&gt;0.5,1,0))</f>
        <v>4</v>
      </c>
      <c r="AE40" s="1" t="n">
        <f aca="false">IF(J40="","",J40*($E$5-AD40*Y40))</f>
        <v>65.5851851851852</v>
      </c>
      <c r="AF40" s="1" t="n">
        <f aca="false">IF(J40="","",MAX(0,INT(AE40/$E$8)-1)+IF((AE40-INT(AE40/$E$8)*$E$8)&gt;0.5,1,0))</f>
        <v>4</v>
      </c>
      <c r="AG40" s="1" t="n">
        <f aca="false">IF(J40="","",J40*($E$5-AF40*Y40))</f>
        <v>65.5851851851852</v>
      </c>
      <c r="AH40" s="1" t="n">
        <f aca="false">IF(J40="","",INT(AG40/$E$8))</f>
        <v>4</v>
      </c>
      <c r="AI40" s="1" t="n">
        <f aca="false">IF(J40="","",MAX(0,AH40-1)+IF((AG40-AH40*$E$8)&gt;0.5,1,0))</f>
        <v>4</v>
      </c>
      <c r="AJ40" s="1" t="n">
        <f aca="false">IF(J40="","",AG40-AH40*$E$8)</f>
        <v>1.58518518518518</v>
      </c>
      <c r="AK40" s="1" t="n">
        <f aca="false">IF(J40="","",J40*Y40)</f>
        <v>7.3537037037037</v>
      </c>
      <c r="AL40" s="1" t="n">
        <f aca="false">IF(J40="","",J40^2/(2*X40))</f>
        <v>4.01111111111111</v>
      </c>
    </row>
    <row r="42" customFormat="false" ht="15" hidden="false" customHeight="true" outlineLevel="0" collapsed="false">
      <c r="C42" s="8" t="s">
        <v>65</v>
      </c>
    </row>
    <row r="43" customFormat="false" ht="15" hidden="false" customHeight="true" outlineLevel="0" collapsed="false">
      <c r="C43" s="8" t="s">
        <v>66</v>
      </c>
    </row>
    <row r="44" customFormat="false" ht="15" hidden="false" customHeight="true" outlineLevel="0" collapsed="false">
      <c r="C44" s="8" t="s">
        <v>67</v>
      </c>
    </row>
    <row r="45" customFormat="false" ht="15" hidden="false" customHeight="true" outlineLevel="0" collapsed="false">
      <c r="C45" s="8" t="s">
        <v>68</v>
      </c>
    </row>
    <row r="46" customFormat="false" ht="15" hidden="false" customHeight="true" outlineLevel="0" collapsed="false">
      <c r="C46" s="8" t="s">
        <v>69</v>
      </c>
    </row>
    <row r="47" customFormat="false" ht="15" hidden="false" customHeight="true" outlineLevel="0" collapsed="false">
      <c r="C47" s="40" t="s">
        <v>70</v>
      </c>
    </row>
    <row r="48" customFormat="false" ht="15" hidden="false" customHeight="true" outlineLevel="0" collapsed="false">
      <c r="C48" s="40" t="s">
        <v>71</v>
      </c>
    </row>
    <row r="49" customFormat="false" ht="15" hidden="false" customHeight="true" outlineLevel="0" collapsed="false">
      <c r="C49" s="40" t="s">
        <v>72</v>
      </c>
    </row>
    <row r="51" customFormat="false" ht="15" hidden="false" customHeight="true" outlineLevel="0" collapsed="false"/>
  </sheetData>
  <conditionalFormatting sqref="V16:V40">
    <cfRule type="colorScale" priority="2">
      <colorScale>
        <cfvo type="min" val="0"/>
        <cfvo type="max" val="0"/>
        <color rgb="FFFCFCFF"/>
        <color rgb="FFF8696B"/>
      </colorScale>
    </cfRule>
  </conditionalFormatting>
  <conditionalFormatting sqref="Q16:Q40">
    <cfRule type="cellIs" priority="3" operator="lessThan" aboveAverage="0" equalAverage="0" bottom="0" percent="0" rank="0" text="" dxfId="0">
      <formula>$E$8</formula>
    </cfRule>
    <cfRule type="cellIs" priority="4" operator="greaterThanOrEqual" aboveAverage="0" equalAverage="0" bottom="0" percent="0" rank="0" text="" dxfId="1">
      <formula>$E$8</formula>
    </cfRule>
  </conditionalFormatting>
  <conditionalFormatting sqref="I16:I40">
    <cfRule type="expression" priority="5" aboveAverage="0" equalAverage="0" bottom="0" percent="0" rank="0" text="" dxfId="2">
      <formula>LEFT(I16,9)="Endurance"</formula>
    </cfRule>
    <cfRule type="expression" priority="6" aboveAverage="0" equalAverage="0" bottom="0" percent="0" rank="0" text="" dxfId="3">
      <formula>LEFT(I16,6)="Hybrid"</formula>
    </cfRule>
    <cfRule type="expression" priority="7" aboveAverage="0" equalAverage="0" bottom="0" percent="0" rank="0" text="" dxfId="4">
      <formula>LEFT(I16,5)="Speed"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2026-04-09T14:51:43Z</dcterms:created>
  <dc:creator>openpyxl</dc:creator>
  <dc:description/>
  <dc:language>en-US</dc:language>
  <cp:lastModifiedBy>Martin Buchheit</cp:lastModifiedBy>
  <dcterms:modified xsi:type="dcterms:W3CDTF">2026-04-26T12:37:19Z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